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for LaTeX)" sheetId="2" r:id="rId5"/>
    <sheet state="visible" name="Summary (micro)" sheetId="3" r:id="rId6"/>
    <sheet state="visible" name="#WALSUI-s3-f20" sheetId="4" r:id="rId7"/>
    <sheet state="visible" name="#WALSUI-s3-f20-filtered" sheetId="5" r:id="rId8"/>
    <sheet state="visible" name="#WALSUI-v10-b0.7-e0.7-grouped" sheetId="6" r:id="rId9"/>
    <sheet state="visible" name="#TURITA-s3-f20" sheetId="7" r:id="rId10"/>
    <sheet state="visible" name="#TURITA-s3-f20-filtered" sheetId="8" r:id="rId11"/>
    <sheet state="visible" name="#TURITA-v15-b0.6-e0.6-grouped" sheetId="9" r:id="rId12"/>
    <sheet state="visible" name="#SOUARS-s3-f20" sheetId="10" r:id="rId13"/>
    <sheet state="visible" name="#SOUARS-s3-f20-filtered" sheetId="11" r:id="rId14"/>
    <sheet state="visible" name="#SOUARS-v15-b0.7-e0.7-grouped" sheetId="12" r:id="rId15"/>
    <sheet state="visible" name="#LEIMUN-s6-f5" sheetId="13" r:id="rId16"/>
    <sheet state="visible" name="#LEIMUN-s10-f5" sheetId="14" r:id="rId17"/>
    <sheet state="visible" name="#LEIMUN-s10-f5-filtered" sheetId="15" r:id="rId18"/>
    <sheet state="visible" name="#LEIMUN-v30-b0.6-e0.6-grouped" sheetId="16" r:id="rId19"/>
    <sheet state="visible" name="#SCOCZE-s3-f20" sheetId="17" r:id="rId20"/>
    <sheet state="visible" name="#SCOCZE-s3-f20-filtered" sheetId="18" r:id="rId21"/>
    <sheet state="visible" name="#SCOCZE-v15-b0.7-e0.7-grouped" sheetId="19" r:id="rId22"/>
    <sheet state="visible" name="#HUNFRA-s5-f20" sheetId="20" r:id="rId23"/>
    <sheet state="visible" name="#HUNFRA-s5-f20-filtered" sheetId="21" r:id="rId24"/>
    <sheet state="visible" name="#HUNFRA-v15-b0.7-e0.7-grouped" sheetId="22" r:id="rId25"/>
    <sheet state="visible" name="#CopaDelRey-v2-b0.8-e0.8-groupe" sheetId="23" r:id="rId26"/>
    <sheet state="visible" name="#ParmaMilan-v3-b0.8-e0.8-groupe" sheetId="24" r:id="rId27"/>
    <sheet state="visible" name="#TropheeDesChampions-v3-b0.8-e0" sheetId="25" r:id="rId2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U-ELD's lowest precision is higher than ELD's highest precision</t>
      </text>
    </comment>
    <comment authorId="0" ref="L12">
      <text>
        <t xml:space="preserve">It is interesting how most algorithms suffer with halves, but why?</t>
      </text>
    </comment>
    <comment authorId="0" ref="M12">
      <text>
        <t xml:space="preserve">All algorithms suffer with substitutions. The filtered version must surely suffer because they are non-key topics. Furthermore, they are more likely to be ignored in biased scenarios.
In the new algorithm's case, as well as in the filtered version, there is also the matter of substitutions being participant-centric. Thus, they have many different lexical variations (bring on, take off, change, sub, substitute, replace and so on).</t>
      </text>
    </comment>
    <comment authorId="0" ref="O12">
      <text>
        <t xml:space="preserve">Excluding substitutions, ELD and F-ELD recall the same number of enumerable topics; F-ELD captures two more goals than ELD but misses two halves.</t>
      </text>
    </comment>
    <comment authorId="0" ref="E14">
      <text>
        <t xml:space="preserve">Underlined values use the Wilcoxon Signed-Rank test, which does not assume a normal distribution of differences.
Calculators:
- Wilcoxon Signed-Ranks: https://www.statskingdom.com/175wilcoxon_signed_ranks.html
- Wilcoxon Signed-Ranks (works even when the first doesn't): statziki.com/Wilcoxon
- Shapiro-Wilk: https://scistatcalc.blogspot.com/2013/10/shapiro-wilk-test-calculator.html</t>
      </text>
    </comment>
    <comment authorId="0" ref="X23">
      <text>
        <t xml:space="preserve">The filtered version of ELD and FUEGO both slash ELD's noise to a third. The noise levels are almost identical: the effects of filtering?</t>
      </text>
    </comment>
    <comment authorId="0" ref="E24">
      <text>
        <t xml:space="preserve">The filtered version has a higher precision than the base version, but at a significant expense to recall.
The new algorithm finds a balance between precision (which is practically as high as the filtered version) and recall, which takes only a minimal hit when compared to ELD.</t>
      </text>
    </comment>
    <comment authorId="0" ref="I24">
      <text>
        <t xml:space="preserve">The filtered version is very good at extracting goals and yellow cards, even when compared to the original version, but much worse at extracting the halves and substitutions.</t>
      </text>
    </comment>
    <comment authorId="0" ref="E25">
      <text>
        <t xml:space="preserve">Keep in mind that the new algorithm was always going to struggle more with improving recall. ELD's failures in recall are mostly due to behavior, not technical faults.</t>
      </text>
    </comment>
    <comment authorId="0" ref="E38">
      <text>
        <t xml:space="preserve">Even though the new algorithm performs slightly worse than the filtered version if we focus only on goals and disciplines, it contributes other things: descriptiveness, a more efficient technique and, more importantly, sensitivity.</t>
      </text>
    </comment>
    <comment authorId="0" ref="I38">
      <text>
        <t xml:space="preserve">The new algorithm captures fewer yellow cards, but more halves and substitutions than the filtered version.
There is probably nothing stopping the new algorithm from achieving the same recall (of goals and discipline) as the filtered version as long as we are okay with raising precision and sacrificing non-key topics.</t>
      </text>
    </comment>
    <comment authorId="0" ref="O41">
      <text>
        <t xml:space="preserve">58/104 = 55.77% topics recalled
36/57 = 63.16% topics recalled (no subs)
34/51 = 66.67% topics recalled (no subs and no starts to halves)</t>
      </text>
    </comment>
    <comment authorId="0" ref="J51">
      <text>
        <t xml:space="preserve">The filtered version captured, on average, 15 fewer topics than ELD, but only 4 fewer precise topics.
FUEGO captured 4 fewer topics than ELD, but around 4 more precise topics.</t>
      </text>
    </comment>
    <comment authorId="0" ref="I64">
      <text>
        <t xml:space="preserve">The weighted average assigns a different weight based on the size of the event, in this case.
The micro-average considers all samples from all events at once.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C22">
      <text>
        <t xml:space="preserve">At this point, the F-score is comparable to ELD's at 25,000 tweets, or datasets with almost 20 times more data</t>
      </text>
    </comment>
  </commentList>
</comments>
</file>

<file path=xl/sharedStrings.xml><?xml version="1.0" encoding="utf-8"?>
<sst xmlns="http://schemas.openxmlformats.org/spreadsheetml/2006/main" count="4084" uniqueCount="1626">
  <si>
    <t># ground truth topics</t>
  </si>
  <si>
    <t># topics</t>
  </si>
  <si>
    <t>ELD</t>
  </si>
  <si>
    <t>Filtered</t>
  </si>
  <si>
    <t>New (groups)</t>
  </si>
  <si>
    <t>Configurations</t>
  </si>
  <si>
    <t>Discipline</t>
  </si>
  <si>
    <t>Half</t>
  </si>
  <si>
    <t>Substitution</t>
  </si>
  <si>
    <t>Recall</t>
  </si>
  <si>
    <t>No substitutions</t>
  </si>
  <si>
    <t>No halves</t>
  </si>
  <si>
    <t>Goals and discipline</t>
  </si>
  <si>
    <t>Total</t>
  </si>
  <si>
    <t>Noise</t>
  </si>
  <si>
    <t>Opinion</t>
  </si>
  <si>
    <t>Topic</t>
  </si>
  <si>
    <t>Valid</t>
  </si>
  <si>
    <t>Precision</t>
  </si>
  <si>
    <t>#WALSUI</t>
  </si>
  <si>
    <t>#WALSUI-s3-f20</t>
  </si>
  <si>
    <t>#WALSUI-s3-f20-filtered</t>
  </si>
  <si>
    <t>#WALSUI-v10-b0.7-e0.7-grouped</t>
  </si>
  <si>
    <t>#TURITA</t>
  </si>
  <si>
    <t>#TURITA-s3-f20</t>
  </si>
  <si>
    <t>#TURITA-s3-f20-filtered</t>
  </si>
  <si>
    <t>#TURITA-v15-b0.6-e0.6-grouped</t>
  </si>
  <si>
    <t>#SOUARS</t>
  </si>
  <si>
    <t>#SOUARS-s3-f20</t>
  </si>
  <si>
    <t>#SOUARS-s3-f20-filtered</t>
  </si>
  <si>
    <t>#SOUARS-v15-b0.7-e0.7-grouped</t>
  </si>
  <si>
    <t>#LEIMUN</t>
  </si>
  <si>
    <t>#LEIMUN-s10-f5</t>
  </si>
  <si>
    <t>#LEIMUN-s10-f5-filtered</t>
  </si>
  <si>
    <t>#LEIMUN-v30-b0.6-e0.6-grouped</t>
  </si>
  <si>
    <t>#SCOCZE</t>
  </si>
  <si>
    <t>#SCOCZE-s3-f20</t>
  </si>
  <si>
    <t>#SCOCZE-s3-f20-filtered</t>
  </si>
  <si>
    <t>#SCOCZE-v15-b0.7-e0.7-grouped</t>
  </si>
  <si>
    <t>#HUNFRA</t>
  </si>
  <si>
    <t>NOTE</t>
  </si>
  <si>
    <t>#HUNFRA-s5-f20</t>
  </si>
  <si>
    <t>#HUNFRA-s5-f20-filtered</t>
  </si>
  <si>
    <t>#HUNFRA-v15-b0.7-e0.7-grouped</t>
  </si>
  <si>
    <t>Macro-average</t>
  </si>
  <si>
    <t>Micro-average</t>
  </si>
  <si>
    <t>Avg. diff (macro)</t>
  </si>
  <si>
    <t>Precision (with redundancy)</t>
  </si>
  <si>
    <t>Avg. diff (micro)</t>
  </si>
  <si>
    <t>1-tailed t-test</t>
  </si>
  <si>
    <t>NOTE ON TESTS</t>
  </si>
  <si>
    <t>Stdev</t>
  </si>
  <si>
    <t>Normal (diff)</t>
  </si>
  <si>
    <t>Normal</t>
  </si>
  <si>
    <t>F1</t>
  </si>
  <si>
    <t>NA</t>
  </si>
  <si>
    <t>Topics</t>
  </si>
  <si>
    <t>Precise Topics</t>
  </si>
  <si>
    <t>Change (%)</t>
  </si>
  <si>
    <t>Test</t>
  </si>
  <si>
    <t>Class</t>
  </si>
  <si>
    <t>TP</t>
  </si>
  <si>
    <t>FP</t>
  </si>
  <si>
    <t>FN</t>
  </si>
  <si>
    <t>Samples</t>
  </si>
  <si>
    <t>A</t>
  </si>
  <si>
    <t>B</t>
  </si>
  <si>
    <t>C</t>
  </si>
  <si>
    <t>Weighted</t>
  </si>
  <si>
    <t>Micro</t>
  </si>
  <si>
    <t>Dataset</t>
  </si>
  <si>
    <t>Algorithm</t>
  </si>
  <si>
    <t>Precise</t>
  </si>
  <si>
    <t>Topics (precise)</t>
  </si>
  <si>
    <t>F-score</t>
  </si>
  <si>
    <t>Redundant</t>
  </si>
  <si>
    <t>Goals</t>
  </si>
  <si>
    <t>Cards</t>
  </si>
  <si>
    <t>Halves</t>
  </si>
  <si>
    <t>Substitutions</t>
  </si>
  <si>
    <t>F-ELD</t>
  </si>
  <si>
    <t>U-ELD</t>
  </si>
  <si>
    <t>#TropheeDesChampions</t>
  </si>
  <si>
    <t>#CopaDelRey</t>
  </si>
  <si>
    <t>#ParmaMilan</t>
  </si>
  <si>
    <t>Tweets</t>
  </si>
  <si>
    <t>#CopaDelRey-v2-b0.8-e0.8-grouped</t>
  </si>
  <si>
    <t>#ParmaMilan-v3-b0.8-e0.8-grouped</t>
  </si>
  <si>
    <t>#TropheeDesChampions-v3-b0.8-e0.8-grouped</t>
  </si>
  <si>
    <t>Legend</t>
  </si>
  <si>
    <t>Back to summary</t>
  </si>
  <si>
    <t>Count</t>
  </si>
  <si>
    <t>%</t>
  </si>
  <si>
    <t>Timestamp</t>
  </si>
  <si>
    <t>Date</t>
  </si>
  <si>
    <t>Query</t>
  </si>
  <si>
    <t>Summary</t>
  </si>
  <si>
    <t>Type</t>
  </si>
  <si>
    <t>Already reported, no new information</t>
  </si>
  <si>
    <t>[["masterclass", 0.7071067811865475], ["littl", 0.7071067811865475]]</t>
  </si>
  <si>
    <t>Bale masterclass? About to witness a Ramsey masterclass. Granit Xhaka masterclass incoming!!! 🔥🔥🔥. No little car delivering the ball? Might switch off #WALSUI. I miss the little 🚗 #WALSUI EURO 2020. #WALSUI taking the knee like good little. Where was the little car? EURO 2020.</t>
  </si>
  <si>
    <t>Unrelated to the event or illegible</t>
  </si>
  <si>
    <t>[["soni", 0.718550745096038], ["ten", 0.6954745334819447]]</t>
  </si>
  <si>
    <t>Will be interesting to see who is gonna stopped bale. Euro On Sony Ten. So Sony LIV has screwed up, can't watch Wales v Switzerland. If you have Jio TV, the Sony Ten 2 HD stream is available there. EURO 2020.</t>
  </si>
  <si>
    <t>Subjective content</t>
  </si>
  <si>
    <t>[["sommer", 0.464881550476438], ["cross", 0.38591935207462486], ["header", 0.38591935207462486], ["keeper", 0.38591935207462486], ["unlucki", 0.38591935207462486], ["yann", 0.32782282874190066], ["save", 0.2840463901539473]]</t>
  </si>
  <si>
    <t>Great header by Moore, great save by the keeper. Very unlucky there. Yann Sommer is the most underrated keeper in the sport. Some save from Sommer too, amazed he's only 32 all the same. Yann having an excellent start to his Sommer this tournament 🤣🤣🤣🤣.</t>
  </si>
  <si>
    <t>Key or non-key topic (enumerable)</t>
  </si>
  <si>
    <t>[["seferov", 1.0]]</t>
  </si>
  <si>
    <t>Seferovic close! Thought that was in from seferovic. Seferovic HAS to do better there man. I thought that Seferovic’s shot was going in.🥺😯. Trying Seferovic. So close from seferovic. Seferovic will score if Wales don't get serious. Seferovic looking sharp.</t>
  </si>
  <si>
    <t>Newsworthy (non-enumerable)</t>
  </si>
  <si>
    <t>[["jame", 0.6726414810711769], ["daniel", 0.5464270426167691], ["dan", 0.49896986385899605]]</t>
  </si>
  <si>
    <t>Lmao. Daniel James only knows one thing. Run x 1000 😂. Dan James bossing it for #WAL. You love to see it.. Is Daniel James this good ?😬. #Wal need to get the ball to Dan James more EURO 2020. Daniel James with an exquisite run there...! ⚡Love it!! #WAL. EURO 2020.</t>
  </si>
  <si>
    <t>[["cynic", 0.7277194126673154], ["foul", 0.685874956845005]]</t>
  </si>
  <si>
    <t>It's always good to start the day by seeing a brutally cynical foul. #WALSUI. What a foul😔 #WAL #WALSUI. Robbie Savage who made a career out of a cynical foul complains about “a cynical foul” bit of Saturday irony for you right there #WALSUI.</t>
  </si>
  <si>
    <t>[["ben", 0.7538689932296285], ["davi", 0.657024764409186]]</t>
  </si>
  <si>
    <t>@KopiteMay Ben Davies has been superb... shame it’s not r Ben Davies😂. Ben davies has been excellent so far. Wait, is that our Ben Davies? That Ben Davies is doing quite well 😉. I ain't even notice Ben Davies playing yc.</t>
  </si>
  <si>
    <t>[["mbabu", 1.0]]</t>
  </si>
  <si>
    <t>MBABU GET THE FUCK UP. Mbabu’s not like this on ultimate team EURO 2020. Mbabu nice with it. Mbabu would be a perfect signing for us.</t>
  </si>
  <si>
    <t>[["pen", 0.6540254922934176], ["penalti", 0.39207704073279204], ["embolo", 0.2890918900557825], ["shouldv", 0.21800849743113918], ["worst", 0.21800849743113918], ["donkey", 0.21800849743113918], ["shite", 0.21800849743113918], ["foul", 0.21800849743113918], ["goe", 0.18770858987095992], ["var", 0.18040323829898475], ["feet", 0.12459991054956523], ["stay", 0.11835802927797293]]</t>
  </si>
  <si>
    <t>Mepham’s being fouled there but you can’t just foul back and hope. Embolo shouldve gotten a retrospective penalty there after seferovic missed. Embolo goes down there it’s a pen. Robbed because he’s stayed on his feet and played the pass.</t>
  </si>
  <si>
    <t>[["bore", 0.7071067811865476], ["chanc", 0.5697117594240808], ["miss", 0.4188418689361395]]</t>
  </si>
  <si>
    <t>Another summer of watching Seferovic miss chance after chance is it? Seferovic has missed 2 big chances now so it’s not my fault if my prediction isn’t right now. Idk if this is just me but this Euro is boring 😴 😞 EURO 2020. Man this #SUIWAL game is boring...</t>
  </si>
  <si>
    <t>Gold</t>
  </si>
  <si>
    <r>
      <rPr>
        <u/>
      </rPr>
      <t>The Guardian</t>
    </r>
    <r>
      <rPr>
        <u/>
      </rPr>
      <t xml:space="preserve">, </t>
    </r>
    <r>
      <rPr>
        <u/>
      </rPr>
      <t>BeSoccer</t>
    </r>
    <r>
      <rPr>
        <u/>
      </rPr>
      <t xml:space="preserve">, </t>
    </r>
    <r>
      <rPr>
        <u/>
      </rPr>
      <t>LiveScore</t>
    </r>
    <r>
      <rPr>
        <u/>
      </rPr>
      <t xml:space="preserve">, </t>
    </r>
    <r>
      <rPr>
        <u/>
      </rPr>
      <t>BBC</t>
    </r>
  </si>
  <si>
    <t>[["save", 0.6155109283518454], ["embolo", 0.6046866684072533], ["yellow", 0.3574215509241057], ["danni", 0.2802062056829729], ["ward", 0.22188881756804368]]</t>
  </si>
  <si>
    <t>If that’s a yellow for Moore, there are going to be 12 bookings a game during this tournament #bbcfootball. What a turn from embolo and what a save from ward. Embolo playing really good for the swiss well deserved goal. Embolo is having a the time of his life today.</t>
  </si>
  <si>
    <t>Topic type</t>
  </si>
  <si>
    <t>[["deserv", 0.45183260169854117], ["fuck", 0.45183260169854117], ["mode", 0.3247839138942553], ["career", 0.2434192903743183], ["breel", 0.22591630084927058], ["corner", 0.22591630084927058], ["tbf", 0.22591630084927058], ["header", 0.22591630084927058], ["assist", 0.22591630084927058], ["bulli", 0.22591630084927058], ["connor", 0.1858836484254538], ["poor", 0.16238081324120435], ["defend", 0.15706892270765482], ["fifa", 0.13657107497014861], ["robert", 0.12839565505678308]]</t>
  </si>
  <si>
    <t>Oh fuck off embolo they deserve it we’ve been fucking shit. What a run to make the corner and a lovely header, fantastic. Embolo has been bullying the welsh defenders all game and deserves that goal. Embolo showing why he was a wonderkid on career mode on fifa 16.</t>
  </si>
  <si>
    <t>Goal</t>
  </si>
  <si>
    <t>Goal, own-goal, cancelled goal</t>
  </si>
  <si>
    <t>[["mbabu", 0.35355339059327373], ["immens", 0.35355339059327373], ["bulli", 0.35355339059327373], ["lmao", 0.35355339059327373], ["prime", 0.35355339059327373], ["aw", 0.31180269469156124], ["defenc", 0.2775258738492251], ["half", 0.26137486995107323], ["second", 0.23808229114753482], ["welsh", 0.21904198078045212], ["mepham", 0.16667057203682067]]</t>
  </si>
  <si>
    <t>Kevin mbabu in my fantasy team so of course he misses that. Mepham is fucking awful get that cunt off the pitch! Mbabu has been watching my finishing by the looks of it. Embolo has turned into prime lukaku in this 2nd half. Embolo is bullying this Wales defence at the moment 😭.</t>
  </si>
  <si>
    <t>Yellow or red card</t>
  </si>
  <si>
    <t>[["move", 0.5773502691896257], ["problem", 0.4285465418387519], ["mode", 0.4038056517859122], ["caus", 0.38688653997183753], ["career", 0.3010385885200685], ["fifa", 0.2822234879327603]]</t>
  </si>
  <si>
    <t>Few players gunna get big moves after this tournament, can see Embolo getting a move. Embolo playing for a move. Best Swiss player so far. Embolo is finally living up to his FIFA 16 career mode potential 🤣. The power and pace of Embolo is causing Wales serious problems.</t>
  </si>
  <si>
    <t>The start and end of each half</t>
  </si>
  <si>
    <t>[["seferov", 0.5773502691896257], ["daniel", 0.48614785981060543], ["chri", 0.46174873872653627], ["mepham", 0.34658539440920816], ["jame", 0.31143794202842595]]</t>
  </si>
  <si>
    <t>Fuck off chris mepham. Chris Mepham is not having a great time of it #WALSUI. Seferovic isn't a footballer. That Chris Mepham’s never played or watched a game of football in his life. Shite. Daniel James has been good today as well. Daniel James is actually wales best player 😭.</t>
  </si>
  <si>
    <t>[["come", 0.5773502691896257], ["injur", 0.5773502691896257], ["dan", 0.41703439503909695], ["jame", 0.39926889020772427]]</t>
  </si>
  <si>
    <t>Come ooonnnn Wales EURO 2020. Come and sign him. Embolo injured now i want to die. Gareth Bale.. where are you? Dan James is out here doing more. Its just dan james and hope!!!! EURO 2020. Dan James is playing better than Bale in this game. Go James Go Bale Go Wales!!!</t>
  </si>
  <si>
    <t>[["mbabu", 0.846903910595824], ["tackl", 0.3662471604251016], ["corner", 0.2239917446703242], ["yellow", 0.17884537355500973], ["wilson", 0.16091876729925433], ["harri", 0.12250592192068574], ["neco", 0.09627954666338535], ["ref", 0.09575237644636965], ["superb", 0.08436821143049349]]</t>
  </si>
  <si>
    <t>Mbabu couldn’t of made much more of a better tackle🙈. What a tackle that was by mbabu shite performance from ref. Mbabu booked for tackling and winning the ball. Game's gone. Mbabu with the best tackle of the game and it gets given as a yellow.</t>
  </si>
  <si>
    <t>Detail</t>
  </si>
  <si>
    <t>Time</t>
  </si>
  <si>
    <t>Captured</t>
  </si>
  <si>
    <t>[["zakaria", 0.9533719083942997], ["deni", 0.3017979527508612]]</t>
  </si>
  <si>
    <t>Get Zakaria on, so we can close up the game. Denis Zakaria is on. Should have started this game to begin with. Dennis Zakaria comes on for Switzerland.. That's my son's name too Zakaria 😍👌. Zakaria is not a good player and Zakaria got Shaqiri is not a good change.</t>
  </si>
  <si>
    <t>Game start</t>
  </si>
  <si>
    <t>[["head", 0.39722436376438697], ["deserv", 0.39722436376438697], ["kieffer", 0.31095732251958347], ["corner", 0.30101052304488424], ["finish", 0.19861218188219348], ["fuck", 0.19861218188219348], ["header", 0.19861218188219348], ["kiefer", 0.19861218188219348], ["level", 0.19861218188219348], ["keiffer", 0.19861218188219348], ["that", 0.19861218188219348], ["brook", 0.19861218188219348], ["tie", 0.19861218188219348], ["piec", 0.16440620653509658], ["short", 0.14481495809941955], ["wal", 0.14163455995522253], ["score", 0.1392352333940515], ["big", 0.12093439089848323], ["set", 0.11143337940107839], ["work", 0.11042351001848756], ["lad", 0.1004756774818039], ["dog", 0.07296450656338277]]</t>
  </si>
  <si>
    <t>1-1. Wales level. Moore heads home from a short taken corner. Great header from moore there! catching switzerland out on a set piece. Kieffer Moore has been Wales best player by country mile and deserves his goal. Moore with a fantastic header to level the game! 1-1..</t>
  </si>
  <si>
    <t>Schär</t>
  </si>
  <si>
    <t>[["jame", 0.394916179804825], ["dan", 0.3628864699226613], ["take", 0.21122356946045556], ["nice", 0.2079722437763101], ["keifer", 0.2079722437763101], ["piss", 0.2079722437763101], ["wtf", 0.2079722437763101], ["angri", 0.2079722437763101], ["equalis", 0.2079722437763101], ["crack", 0.2079722437763101], ["embolo", 0.2079722437763101], ["taken", 0.2079722437763101], ["superb", 0.2079722437763101], ["equal", 0.2079722437763101], ["let", 0.2079722437763101], ["daniel", 0.17832884046798997], ["assist", 0.15180356801975706], ["david", 0.14932435397460858], ["brook", 0.14475735384227897], ["morrel", 0.1421553056267122], ["best", 0.0969387493679512], ["stupid", 0.09589077739377422], ["bad", 0.08795267246021908], ["player", 0.06384242936416124]]</t>
  </si>
  <si>
    <t>David Brooks on, disappointed he didn’t start but James did well tbf. Joe Morrell with the assist - the one we let away. Daniel James has been Wales' best player tonight and what does their manager do? He takes him off. 🤦‍♂️.</t>
  </si>
  <si>
    <t>Half-time</t>
  </si>
  <si>
    <t>[["headband", 0.37796447300922725], ["piss", 0.37796447300922725], ["sub", 0.37796447300922725], ["tbf", 0.37796447300922725], ["zakaria", 0.37796447300922725], ["savag", 0.29732474343708315], ["ben", 0.28598322649900615], ["davi", 0.2471249421211081], ["robbi", 0.23335625082096162]]</t>
  </si>
  <si>
    <t>I recently got a promotion and wore a headband for my interview, power of the headband #WALSUI EURO 2020. Daniel James pissed off about being subbed off actually love him 😂😂. Zakaria is so good ffs @manutd are you watching. Ben davies can’t cross for the life of him.</t>
  </si>
  <si>
    <t>Second half</t>
  </si>
  <si>
    <t>[["gareth", 0.5748831635004388], ["ben", 0.534980017030748], ["davi", 0.4623812078553586], ["bale", 0.41171513006413535]]</t>
  </si>
  <si>
    <t>🏴󠁧󠁢󠁷󠁬󠁳󠁿 Gareth Bale has scored for Wales in his last two matches against Switzerland.... EURO 2020. Ben Davies is pure shite, Paratici - do your thing! Bale and Ben Davies have been shocking. Says alot 🐓👀. Ben Davies is still doing what Ben Davies does 😬.</t>
  </si>
  <si>
    <t>Moore</t>
  </si>
  <si>
    <t>[["close", 0.5773502691896257], ["throw", 0.5075261076916818], ["ben", 0.4386932680743805], ["davi", 0.37534191063556044], ["long", 0.27522823863961476]]</t>
  </si>
  <si>
    <t>Is this a gareth bale long throw 😭😭. Did they just long throw to Joe Allen. Oooooh ramsey so close 😂. Ben Davies - What a player though 🔥🔥🔥. How Ben Davies made it to be a international footballer I do not know. Ben Davies isn’t very good at anything. Ben Davies is so crap.</t>
  </si>
  <si>
    <t>Embolo</t>
  </si>
  <si>
    <t>[["gavranov", 0.49229985213623706], ["offsid", 0.45997149040904256], ["sub", 0.2793019573348434], ["fuck", 0.2793019573348434], ["seferov", 0.2793019573348434], ["var", 0.2793019573348434], ["miss", 0.24016858404171967], ["level", 0.23808265710900076], ["savag", 0.19852829691677548], ["robbi", 0.19645889823166404], ["header", 0.14603503605297144], ["ramsey", 0.14257852085945533]]</t>
  </si>
  <si>
    <t>And he scores with his first touch! I think he’s offside though. Robbie Savage trying to remain calm in the commentary box #wal. This Gavranovic is absolutely fucking shit doesn’t know the fucking offside rule. Gavranovic has been on for 7 minutes and been offside 3 times..</t>
  </si>
  <si>
    <t>Mbabu</t>
  </si>
  <si>
    <t>[["bale", 0.6444845085442471], ["clearli", 0.4011949434853973], ["embolo", 0.4011949434853973], ["disallow", 0.4011949434853973], ["gareth", 0.26561166712543827], ["bring", 0.1766861978157101]]</t>
  </si>
  <si>
    <t>Switzerland have the ball in the back of the net late on but it's disallowed for offside, the score remains levels. 🏴󠁧󠁢󠁷󠁬󠁳󠁿 1- 1 🇨🇭. EURO 2020. Nice Swiss move but clearly offside. Wales fans go potty. #WAL. Embolo is one to watch out for in this tournament👍⚒️.</t>
  </si>
  <si>
    <t>Zakaria for Shaqiri</t>
  </si>
  <si>
    <t>[["save", 0.7071067811865475], ["zakaria", 0.35355339059327373], ["danni", 0.27006404949305163], ["commit", 0.2658537739861972], ["allen", 0.23613476066753092], ["foul", 0.23307031311880103], ["ward", 0.2281784590433868], ["mark", 0.1935815272525171], ["joe", 0.17823177918393474]]</t>
  </si>
  <si>
    <t>What a save! Wales can’t defend set pieces well at all. Embolo been fantastic in this game. @markgoldbridge Mark it was embolo that did that not zakaria 😂. Wales are very very lucky, what a save from Danny ward at the the end, I don't think that was offside.</t>
  </si>
  <si>
    <t>[["offsid", 0.5314082578401236], ["outstand", 0.29331334253708313], ["wow", 0.29331334253708313], ["ampadu", 0.29331334253708313], ["brilliant", 0.29331334253708313], ["class", 0.29331334253708313], ["motm", 0.29331334253708313], ["blinder", 0.2368357094277971], ["robbi", 0.20787832705598994], ["savag", 0.20692829204987687], ["fair", 0.17303630731759242], ["save", 0.17129952777843327]]</t>
  </si>
  <si>
    <t>Danny Ward is outstanding, sign Jim up someone he's too good to be a bench player. Offside but Danny Ward, that’s a worldie of a save. Calling it now Ethan Ampadu to score a last minute goal. If fifa do motm that Danny ward card will be 🔥🔥🔥🔥.</t>
  </si>
  <si>
    <t>Brooks for James</t>
  </si>
  <si>
    <t>[["breel", 0.457067458630475], ["target", 0.44767197022527017], ["gavranov", 0.42080899277890066], ["offsid", 0.39528866025948745], ["shot", 0.3645862592144116], ["baller", 0.2536606963150817], ["embolo", 0.24511002170323495]]</t>
  </si>
  <si>
    <t>@SkyBetHelp. Come on , that Bale shot was on Target ! @TheGoonerTalkTv It makes sense now, Gavranovic doesn’t understand the offside rule. Gavranovic is the best offsides player I've seen since Pippo 💀. Breel Embolo and the goalkeepers have been on form in this game.</t>
  </si>
  <si>
    <t>Gavranovic for Seferovic</t>
  </si>
  <si>
    <t>[["draw", 0.5], ["man", 0.5], ["take", 0.5], ["result", 0.5]]</t>
  </si>
  <si>
    <t>I’ll take the draw #wal EURO 2020. Ward has to be Man of the Match right?. #WAL #SUI. That Man Moore! Wales Score! I'm LIVE. A point for #wales. They will take that EURO 2020. Will take that draw against Switzerland. 😊❤. 👏🏿👏🏿. #WAL. Great result for Wales. Euros 2021 EURO 2020.</t>
  </si>
  <si>
    <t>Gavranovic (cancelled)</t>
  </si>
  <si>
    <t>Ampadu for Ramsey</t>
  </si>
  <si>
    <t>Full-time</t>
  </si>
  <si>
    <t>[["cross", 0.7071067811865475], ["keeper", 0.7071067811865475]]</t>
  </si>
  <si>
    <t>Dan James with a peach of a cross #WALSUI. Amazing save by the Swiss keeper! #WALSUI. Good cross from Daniel James. What a cross from Dan James and Moore nearly scoring with his head!!! Wales 🏴󠁧󠁢󠁷󠁬󠁳󠁿 coming closes so far. Great cross there by James and unlucky by Moore FA WALES.</t>
  </si>
  <si>
    <t>[["pen", 0.6339110433001993], ["goe", 0.4425572622169886], ["seferov", 0.3722586718396491], ["worst", 0.30056751073140014], ["penalti", 0.2987747353011711], ["feet", 0.14197873037306624], ["stay", 0.1361114562715002], ["seen", 0.1296238587854402], ["ever", 0.12330686960180373], ["striker", 0.11586609450379051]]</t>
  </si>
  <si>
    <t>Embolo could have gotten a penalty had he gone down. Say it every tournament but Seferovic is the worst player in international football. Embolo goes down there it’s a pen. Robbed because he’s stayed on his feet and played the pass. It would have been a penalty and possibly a red.</t>
  </si>
  <si>
    <t>[["var", 0.8342973113318425], ["pull", 0.5513147887590708]]</t>
  </si>
  <si>
    <t>That much pull on Embolo's shirt deserved at least a check by #var... #WALSUI. How can that level of shirt pulling be watched by VAR and be allowed? #WALSUI. Is there no VAR in the euros? 😂😂#Euros #WALSUI. Why hasn’t VAR intervened there with the shirt pull? EURO 2020 #WALSUI.</t>
  </si>
  <si>
    <t>[["save", 0.7135766158483889], ["embolo", 0.5558056967764038], ["yellow", 0.32341362186410727], ["danni", 0.21096504647575498], ["ward", 0.18106854807911812]]</t>
  </si>
  <si>
    <t>If that’s a yellow for Moore, there are going to be 12 bookings a game during this tournament #bbcfootball. What a turn from embolo and what a save from ward. Unreal save from Danny ward and then concede, fuck off man. Embolo been best player on the pitch 👏🏻👏🏻rodon been good👀.</t>
  </si>
  <si>
    <t>[["corner", 0.6462455019698046], ["header", 0.3828342465564132], ["deserv", 0.3411546146803812], ["poor", 0.3327296193283938], ["defend", 0.3093419642688373], ["lead", 0.24462091100252223], ["embolo", 0.23060220986329483]]</t>
  </si>
  <si>
    <t>And then scoring from the corner too, written in the stars. Deserved for Embolo after that fantastic play to win the corner. Poor defensively from wales there but a good header by embolo! switzerland get the lead they deserve.</t>
  </si>
  <si>
    <t>[["half", 0.6808406684745367], ["assist", 0.41618547802302697], ["2nd", 0.4109256038831532], ["second", 0.33209424134199106], ["shaqiri", 0.2899986120219261]]</t>
  </si>
  <si>
    <t>Embolo taking this match over to start the 2nd half. Breel Embolo has come into this second half like a man on a mission.. He’s really up for this.. Euro 2020. Embolo put on a hunter for the second half #SUI. And that's the lead for Switzerland vs Wales. Shaqiri with an assist 🧐.</t>
  </si>
  <si>
    <t>[["ff", 1.0]]</t>
  </si>
  <si>
    <t>Bale needs to turn it on ffs. Bale your team needs you! 🗣. #wal need to wake up ffs. FFS. Bring Bale on. #WALSUI. Just give the ball to Bale ffs.</t>
  </si>
  <si>
    <t>[["mbabu", 0.7334359931697533], ["tackl", 0.5030784257786125], ["corner", 0.29634612242426306], ["yellow", 0.24048241285704644], ["book", 0.1793407371123884], ["ref", 0.13242665603261308], ["superb", 0.11675190385502374]]</t>
  </si>
  <si>
    <t>Mbabu couldn’t of made much more of a better tackle🙈. Mbabu booked for tackling and winning the ball. Game's gone. This ref is insane for booking Mbabu for a wonderful tackle. Mbabu with the best tackle of the game and it gets given as a yellow.</t>
  </si>
  <si>
    <t>[["zakaria", 1.0]]</t>
  </si>
  <si>
    <t>Zakaria finally coming on. Zakaria ball for 25mins😍😍. Time to watch zakaria ball out🤩🤩🤩🤩. Very excited to see zakaria and i like the sub. Zakaria for Freuler would have been my sub #SUI.</t>
  </si>
  <si>
    <t>[["corner", 0.43926615912298606], ["header", 0.2971862801649998], ["nice", 0.2971862801649998], ["deserv", 0.2971862801649998], ["dan", 0.29031337484040576], ["take", 0.28189598031734087], ["jame", 0.2462524357469126], ["piec", 0.2407208571801856], ["short", 0.22536910085238193], ["morrel", 0.22312489403853025], ["assist", 0.19630325208361785], ["set", 0.1742789546581757], ["work", 0.16741581619669285], ["stupid", 0.14242965369049773], ["best", 0.13799359643820658], ["bad", 0.12933385078190196], ["player", 0.07864085082173078]]</t>
  </si>
  <si>
    <t>Wales play a corner short, Morrell clips in a lovely cross and the magnificent Adonis himself flicks a header into the bottom far corner. Wales coach is stupid. Daniel James has been their best player and they take him off. Joe Morrell with the assist - the one we let away.</t>
  </si>
  <si>
    <r>
      <rPr>
        <u/>
      </rPr>
      <t>The Guardian</t>
    </r>
    <r>
      <rPr>
        <u/>
      </rPr>
      <t xml:space="preserve">, </t>
    </r>
    <r>
      <rPr>
        <u/>
      </rPr>
      <t>BeSoccer</t>
    </r>
    <r>
      <rPr>
        <u/>
      </rPr>
      <t xml:space="preserve">, </t>
    </r>
    <r>
      <rPr>
        <u/>
      </rPr>
      <t>LiveScore</t>
    </r>
    <r>
      <rPr>
        <u/>
      </rPr>
      <t xml:space="preserve">, </t>
    </r>
    <r>
      <rPr>
        <u/>
      </rPr>
      <t>BBC</t>
    </r>
  </si>
  <si>
    <t>[["embolo", 0.5901295220506698], ["daniel", 0.4835677167177406], ["brook", 0.34582359794851913], ["taken", 0.29474264441988757], ["sub", 0.28197233718215287], ["breel", 0.24476228538452002], ["take", 0.1982536594212118], ["best", 0.1808887350235794]]</t>
  </si>
  <si>
    <t>Euro 2020: Breel Embolo opens the scoring for Switzerland against Wales with header. Why tf have Wales just taken off Daniel James, he’s been their best player! Daniel imagine not subbing off bale who has been shite.</t>
  </si>
  <si>
    <t>[["ben", 0.615162050854105], ["shoot", 0.5804390052818686], ["davi", 0.5335412002239063]]</t>
  </si>
  <si>
    <t>Ben Davies needs to stop shooting. Ben Davies is that one player in your saturday/sunday team who only shoots. One of these days Ben Davies is going to score one of those #wal. Ben davies shooting like he is a top goal scorer 😭😭. Ben Davies is needs to get subbed.</t>
  </si>
  <si>
    <t>[["offsid", 0.7099185252140008], ["sub", 0.4362398767444687], ["throw", 0.3507145601574436], ["gavranov", 0.339713449003597], ["long", 0.2594311611113825]]</t>
  </si>
  <si>
    <t>Also, what's up with Gary Bale taking the long throw-ins. That's a thing? I mean, he has had lots of free time so... Gavranovic goal 🔥🔥 , Switzerland leading in last 5 minutes of the game 👀. When you score a goal / when it turns out to be an offside #sui euro 2020.</t>
  </si>
  <si>
    <t>[["var", 1.0]]</t>
  </si>
  <si>
    <t>Yes it was... The fact they needed Var for this???. And there the Swiss become against the VAR EURO 2020. Or not… VAR strikes for the first time, no goal for #SUI EURO 2020. Got to be a VAR check here, don't they look at them all? EURO 2020.</t>
  </si>
  <si>
    <t>[["clearli", 0.7071067811865475], ["disallow", 0.7071067811865475]]</t>
  </si>
  <si>
    <t>What's taking so long so clearly offside EURO 2020. Goal Disallowed 😂😂. Offside bc. EURO 2020. Not even a hard call... clearly offside lol. #WALSUI. The truly good thing about VAR is the fact that it sometimes allows both sides to celebrate (goal/disallowed) #WALSUI EURO 2020.</t>
  </si>
  <si>
    <t>[["embolo", 0.5], ["zakaria", 0.5], ["save", 0.4394968396067256], ["commit", 0.3759831551405366], ["foul", 0.32960076918989006], ["ward", 0.2384167107727563]]</t>
  </si>
  <si>
    <t>Zakaria is really good we need to go for him. Good save from Ward. Embolo has been fantastic today though. Chelsea sign embolo up! 90+2 embolo will score trust me. Wales lucky here. Embolo tearing them a new one. Ward with Some brilliant saves.</t>
  </si>
  <si>
    <t>[["keeper", 0.6602594953724067], ["danni", 0.5786142222339602], ["ward", 0.4347173665360911], ["how", 0.20070822561890714]]</t>
  </si>
  <si>
    <t>Wales keeper Danny ward having a hell of a game. How is danny ward not a first choice prem keeper. Danny Ward. Still think he should be our number 2 keeper. 👏🏾👏🏾👏🏾👏🏾👏🏾. Danny Ward best back up keeper in the league, how’s he been so good after playing about 1 minute every season😭.</t>
  </si>
  <si>
    <t>[["class", 0.8164965809277261], ["goalkeep", 0.35960265434180755], ["target", 0.21579940481008253], ["shot", 0.2147738522360583], ["sky", 0.20565206233440286], ["octopu", 0.19326820136016476], ["bet", 0.17797950781921926]]</t>
  </si>
  <si>
    <t>Why’s no one talking about how class danny ward has been then. Danny Ward would be a class 1st choice for a few Prem teams, us included. Surely that was a shot on target for bale 👀 Sky Bet. This Danny Ward fella is class, we ought to take a look at him.</t>
  </si>
  <si>
    <t>[["breel", 0.8486529072530165], ["embolo", 0.5289501328206687]]</t>
  </si>
  <si>
    <t>1-0 Switzerland. Breel Embolo opens the score vs Wales!. Breel Embolo gives Switzerland the lead! 💥. What a player that Embolo looks for Switzerland. Breel Embolo and the goalkeepers have been on form in this game. Breel Embolo is a baller.</t>
  </si>
  <si>
    <t>[["2nd", 0.5716824803612752], ["matchday", 0.5716824803612752], ["brace", 0.41991374532024606], ["win", 0.41234782621845323]]</t>
  </si>
  <si>
    <t>Bale to score a brace today. No chance Wales are winning this, especially with Ben Davies centre half 🤮. EURO 2020 what do you think who will win? Time for the 2nd game of EURO 2020. ⚽️ Here we go! ℹ️ Group A, matchday. 🏴󠁧󠁢󠁷󠁬󠁳󠁿🆚🇨🇭 Who's winning this? EURO 2020.</t>
  </si>
  <si>
    <t>[["save", 0.4182976962011314], ["oof", 0.4182976962011314], ["yann", 0.4182976962011314], ["sommer", 0.35977290180277927], ["moor", 0.3530192626765605], ["inch", 0.35262175403478213], ["cross", 0.31093386748248725]]</t>
  </si>
  <si>
    <t>What a cross from James and what a save from Sommer. #WALSUI. Yann Sommer showing his class there. Saved a definite goal. I predict. wales 1-1 switzerland. embolo and moore to score. Oof. What a save from Yann Sommer. Inches away from a first Wales goal.</t>
  </si>
  <si>
    <t>[["puma", 0.7063520190102347], ["great", 0.5044644806045103], ["tournament", 0.49657065262516936]]</t>
  </si>
  <si>
    <t>Lovely flick by Schar…almost a great goal. EURO 2020. Schar nearly scored a great goal there EURO 2020 #NUFC. Goal of the tournament if that had gone in #WALSUI. That would of been the goal of the tournament on Day 2 of Euros #SUI. It begins PUMA Football euro 2020 🐈‍⬛ 🏴󠁧󠁢󠁥󠁮󠁧󠁿.</t>
  </si>
  <si>
    <t>[["touch", 0.7545774354899277], ["ben", 0.5538536439056552], ["davi", 0.25336579714391444], ["take", 0.24426380783796173]]</t>
  </si>
  <si>
    <t>Ben Davies giving the ball away....🙄 #wal. Ben Davies having a nightmare so far, nice to see him taking his Tottenham form into the euros. Switzerland and Wales both take the knee.. EURO 2020. Has Bale had a touch? Has Ramsey even touched the ball.</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</si>
  <si>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</si>
  <si>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</si>
  <si>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[["bore", 0.5454294980667117], ["gonna", 0.44924817880136897], ["take", 0.44107061272205456], ["pitch", 0.3994516768228744], ["get", 0.3828548144646133]]</t>
  </si>
  <si>
    <t>Joe Rodon the best player on the pitch so far. Aaron Ramsey's workrate is outstanding. Any chance to sign him, we should take it. Go 5 back and take Morrell of for Cabango. Seferovic will score if Wales don't get serious. ARE WE GONNA GET GOALS. THIS IS BORING #WALSUI.</t>
  </si>
  <si>
    <t>[["free", 0.537723299667162], ["card", 0.44151013556368335], ["foul", 0.2794957903018704], ["jame", 0.25599597801797036], ["yellow", 0.2538237202477526], ["xhaka", 0.25340876051020317], ["daniel", 0.25080048011297146], ["pass", 0.23016859749597862], ["kick", 0.22075440440476016], ["bale", 0.1996036023476974], ["win", 0.1979281827724017]]</t>
  </si>
  <si>
    <t>Daniel James for Wales is not the player for united he's so much better.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</si>
  <si>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</si>
  <si>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</si>
  <si>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</si>
  <si>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</si>
  <si>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</si>
  <si>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</si>
  <si>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r>
      <rPr>
        <u/>
      </rPr>
      <t>The Guardian</t>
    </r>
    <r>
      <rPr>
        <u/>
      </rPr>
      <t xml:space="preserve">, </t>
    </r>
    <r>
      <rPr>
        <u/>
      </rPr>
      <t>BeSoccer</t>
    </r>
    <r>
      <rPr>
        <u/>
      </rPr>
      <t xml:space="preserve">, </t>
    </r>
    <r>
      <rPr>
        <u/>
      </rPr>
      <t>LiveScore</t>
    </r>
    <r>
      <rPr>
        <u/>
      </rPr>
      <t xml:space="preserve">, </t>
    </r>
    <r>
      <rPr>
        <u/>
      </rPr>
      <t>BBC</t>
    </r>
  </si>
  <si>
    <t>[["penalti", 0.7577229493575779], ["seferov", 0.3492691149818381], ["second", 0.32394717261525136], ["turkey", 0.3218736571108827], ["embolo", 0.30874357572151606]]</t>
  </si>
  <si>
    <t>How many goals did they say seferovic scored this season? That has to be a penalty, just because he didn’t go down it’s not given #WALSUI. If he had gone down it could have been clear penalty.. EURO 2020. No idea how that isn't a penalty on Embolo there.</t>
  </si>
  <si>
    <t>[["embolo", 0.6361928371411251], ["penalti", 0.4471222417304314], ["pen", 0.3971923300979564], ["seferov", 0.34522287553395237], ["pass", 0.3182797636585378], ["worst", 0.13075850291728774]]</t>
  </si>
  <si>
    <t>Seferovic is awful. One of the worst strikers I have ever seen. Seferovic is taking the piss lmfao how the fuck do you miss. Embolo shouldve tried to shoot there, no clue why he looked for the pass. Respect to Embolo for not going down for a pen, most players would.</t>
  </si>
  <si>
    <t>[["half", 0.495960710822837], ["touch", 0.4012093570554373], ["walsui", 0.37308558923500756], ["dull", 0.25036911366191433], ["far", 0.2460751419767725], ["anoth", 0.23618175200659056], ["goat", 0.21052909183818577], ["varieti", 0.20534157225891642], ["time", 0.19809390500384758], ["ifyama", 0.19449899232198048], ["noti", 0.19449899232198048], ["halv", 0.19211613136629888], ["por", 0.19116615995897132]]</t>
  </si>
  <si>
    <t>Gareth Bale and Dan James combined for 25 touches during the first half. #WAL EURO 2020. Once again another dull game of football so far EURO 2020 Euros 2021. As halves of football go, that was of the less interesting variety EURO 2020.</t>
  </si>
  <si>
    <t>[["need", 0.5150669810576398], ["badli", 0.5118228902073333], ["pass", 0.4965762148732472], ["goe", 0.47555798479905637]]</t>
  </si>
  <si>
    <t>Fabian didn't believe in that last pass.#WALSUI. If embolo goes down thats a penalty. Need to get foothold in this game and Ramsey and Bale on the ball. Or it will end badly 🏴󠁧󠁢󠁷󠁬󠁳󠁿. Come on Wales 🏴󠁧󠁢󠁷󠁬󠁳󠁿 we need a BIG second half 🙏🏼 #WAL.</t>
  </si>
  <si>
    <t>[["yellow", 0.6287170780748073], ["embolo", 0.4494676356841081], ["ff", 0.40348760242786047], ["goal", 0.34379821503795993], ["save", 0.22473381386309543], ["ref", 0.2110279381611362], ["moor", 0.1632670954459327]]</t>
  </si>
  <si>
    <t>If that’s a yellow for Moore, there are going to be 12 bookings a game during this tournament #bbcfootball. What a turn from embolo and what a save from ward. Embolo been absolutely class. Goal now to top it off. Shaqiri is a really good buy ffs i wish i chose him.</t>
  </si>
  <si>
    <t>[["embolo", 0.9453327575141379], ["lead", 0.17463160033728822], ["final", 0.16251606600296703], ["defend", 0.15408276102685314], ["corner", 0.09790716677117861], ["class", 0.09243376213001593], ["gol", 0.08698849977408996]]</t>
  </si>
  <si>
    <t>Embolo balling twice in a minute you live to see it. Embolo has started the 2nd half like a man on a mission. Deserved for Embolo after that fantastic play to win the corner. Wales have been so poor , brilliant touch ,turn of pace and strike from embolo.</t>
  </si>
  <si>
    <t>[["shot", 0.7598989403954794], ["pass", 0.6500412297584112]]</t>
  </si>
  <si>
    <t>Embolo’s the only one on this team that can make his own shot. Cross or shot 🧐 #WALSUI. Bale shot on target please. Akanji’s passing has been excellent today. He’s broken the lines on quite a few occasions. I'd take off Moore. Wales need to be passing through, Ramsay,Bale,etc.</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</si>
  <si>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</si>
  <si>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</si>
  <si>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0.4672659451344876], ["jame", 0.41814844066108886], ["take", 0.41510910804075263], ["mepham", 0.24778505899293804], ["pitch", 0.23987539167998667], ["leagu", 0.2358845312214392], ["isnt", 0.2300400004136704], ["shakira", 0.22766751359282084], ["play", 0.21588829007751478], ["battl", 0.20893259868563824], ["rob", 0.18169918766764026], ["pass", 0.17858784260833468]]</t>
  </si>
  <si>
    <t>I'd rather watch Shakira play football than Shaqiri Euros 2021. #wal are fucking shit even though most of their players are in the Premier League and championship. Loool bale only wants to pass to James. He knows. Why is Daniel James taking a corner for your team ffs.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</si>
  <si>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</si>
  <si>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</si>
  <si>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[["mbabu", 0.618786932279749], ["yellow", 0.5976744384127538], ["tackl", 0.3661963924703614], ["book", 0.2517810340451321], ["daniel", 0.16660126077209525], ["incred", 0.08804911298935612], ["ramsey", 0.08501951510536412], ["nice", 0.08194117130443222], ["emobolo", 0.08190632258505036], ["under", 0.07895926527463205]]</t>
  </si>
  <si>
    <t>Mbabu booked for tackling and winning the ball. Game's gone. If that’s a yellow card on Mbabu then what are we doing here? Mbabu yellow 🥵 also wasn't a bad tackle refs shit. What a tackle from mbabu, how on earth is that a yellow? Dan james bodied as per.</t>
  </si>
  <si>
    <t>[["ramsey", 0.6685991277378476], ["mbabu", 0.5594379263649552], ["2nd", 0.3879286164957951], ["free", 0.2991919140557222]]</t>
  </si>
  <si>
    <t>Mbabu will be close to a 2nd. Ramsey should've score there. That’s 2 brilliant free kicks from Wales (Bale/Ramsey) and not one player gambling on getting the final touch on it. Ramsey licks the air in disappointment after that free kick #WALSUI EURO 2020.</t>
  </si>
  <si>
    <t>[["zakaria", 0.7475184579155607], ["embolo", 0.5390716732553215], ["premier", 0.22823044344916715], ["leagu", 0.18686054037824612], ["book", 0.1836029337879861], ["sub", 0.17292151978929846]]</t>
  </si>
  <si>
    <t>#wal deserve to be further behind her. Procrastinating on the subs is going to cost them. I signed Embolo for Crystal Palace Back in fifa 17.. If embolo went palace, they can charge for europa league. Zakaria is not a good player and Zakaria got Shaqiri is not a good change.</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</si>
  <si>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</si>
  <si>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</si>
  <si>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</si>
  <si>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</si>
  <si>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[["moor", 0.7326285868126206], ["stole", 0.22904709658253525], ["gol", 0.21878070934254829], ["play", 0.21845109645440433], ["manag", 0.2165765746719096], ["score", 0.2022513171038196], ["everywher", 0.19207967294371792], ["hobbi", 0.1911932971126453], ["win", 0.18634528931831443], ["remark", 0.17539690672630234], ["would", 0.17464866254534245], ["bale", 0.1728851962422452], ["leagu", 0.1675300787166239]]</t>
  </si>
  <si>
    <t>RIP the Bale that we saw in the Champions League final against Liverpool who came and stole the show from Ronaldo. 3 things are guaranteed in life: Death. Wales playing horribly. Kieffer Moore scoring. What a header. Didnt think we'd looked like scoring. Get in Moore!! Cmon Cymru.</t>
  </si>
  <si>
    <t>[["moor", 0.7701206296326102], ["header", 0.4943235446345141], ["kieffer", 0.18195677500123247], ["defend", 0.11967537572083765], ["cross", 0.11967537572083765], ["corner", 0.11197589958168148], ["class", 0.11107793250478773], ["keifer", 0.10882938325411784], ["beauti", 0.10713863768396159], ["final", 0.10351002425203806], ["inde", 0.09709625324585804], ["win", 0.09637341776811253], ["head", 0.08877097888051368], ["slow", 0.08859497857927344], ["take", 0.08629691969252729]]</t>
  </si>
  <si>
    <t>Moore is a class striker, would love Watford to sign him. Great header from Moore, poor defending again from a corner to make it 1-1. Switzerland will be kicking themselves now. 1-1 what a header from Moore, low-key want Wales to win this.</t>
  </si>
  <si>
    <t>[["get", 0.7141400560674526], ["jame", 0.7000028430799234]]</t>
  </si>
  <si>
    <t>1-1 - playing with a belief you can win !! #Wal get in !!! Daniel James dey start. Why wales dem no get players anaa. Unless by the luck of the football gods Brooks scores the winner that’s a strange fucking decision to take James off.</t>
  </si>
  <si>
    <t>[["equalis", 0.6414877565361007], ["zakaria", 0.5840122122534489], ["ff", 0.34683390433090344], ["favour", 0.19306356513718567], ["ben", 0.17776679632194312], ["net", 0.17300955565340362], ["embolo", 0.16829306745751346]]</t>
  </si>
  <si>
    <t>Embolo has been class but not scoring that is criminal. What a cross. Zakaria is so good ffs Manchester United are you watching. Now, we can we do everyone a favour and win this match pls 🥺 #wal. 📸 Kieffer Moore nets the equaliser in Baku ⚽️. EURO 2020.</t>
  </si>
  <si>
    <t>[["ben", 0.6588765530131215], ["davi", 0.596933919541966], ["ref", 0.3718371601008876], ["need", 0.26699945684948473]]</t>
  </si>
  <si>
    <t>Wales only need one Moore goal. Ben Davies is a horrific footballer. Ben Davies is a shocking footballer. Ben Davies needs to stop kicking the ball. Who is mepham ? Shouting ref as he’s playing 😂😂 great big pansy. Get Ben Davies off the pitch for someone who can actually cross.</t>
  </si>
  <si>
    <t>[["final", 0.5924202785735466], ["pleas", 0.5112050800739086], ["throw", 0.5107472341150182], ["brook", 0.27567860951449613], ["ramsey", 0.22549090168226932]]</t>
  </si>
  <si>
    <t>Can Wales please score one Moore to win the match. Gareth Bale taking a long throw is so weird. Brooks has a sick final ball. Wales are finally really trying to go for this win EURO 2020. Wales have finally woken up. EURO 2020. Wow, should’ve been two if Ramsey gets to that ball.</t>
  </si>
  <si>
    <t>[["half", 0.842537134135709], ["2017", 0.27131708107103447], ["non", 0.24477247489523762], ["goalscor", 0.23535562599213494], ["winner", 0.23305815379336947], ["ramsey", 0.21655549154758644]]</t>
  </si>
  <si>
    <t>If Ramsey scores the winner I might ejaculate. From non-league in 2017, to a goalscorer at the EUROs... Kieffer Moore, what a story 👏. EURO 2020 #WAL. Bale’s not even half the player from 2016. The first half of this match vs The second half of this match 🤣🤣 #WALSWI EURO 2020.</t>
  </si>
  <si>
    <t>[["offsid", 0.74076043017902], ["var", 0.5110247577686732], ["touch", 0.25089522072443526], ["gavranov", 0.21554764140669913], ["exist", 0.20228066047296941], ["embolo", 0.19950192713035925]]</t>
  </si>
  <si>
    <t>Bale touched his bun more times than he touched the ball...🤦🏾‍♂️. What a decent match this has turned out to be.. Even if that goal was offside. 😂😂 EURO 2020. #SUI back ahead through Gavranovic but looks offside. VAR will surely cancel.</t>
  </si>
  <si>
    <t>[["var", 0.8076619522936751], ["offsid", 0.38714508304261347], ["intern", 0.24436072417063798], ["tournament", 0.20078347411531913], ["net", 0.19499830753840977], ["second", 0.1732828780398545], ["pea", 0.1724047352408356]]</t>
  </si>
  <si>
    <t>How did that take more than 1 second for VAR and how did the linesman miss it. EURO 2020. So we love VAR now, how long before it is the ruination of football again? EURO 2020. VAR got that call was just a touch offside on that one...</t>
  </si>
  <si>
    <t>[["embolo", 0.48185079556949223], ["play", 0.4465421582383987], ["zakaria", 0.2622492588762031], ["cdm", 0.2622492588762031], ["distribut", 0.2622492588762031], ["corner", 0.2622492588762031], ["equalis", 0.2619617724089071], ["moor", 0.22928031938013965], ["leagu", 0.21764214794745065], ["react", 0.20950343002277005], ["save", 0.20340868651110774], ["breel", 0.1987281963865077]]</t>
  </si>
  <si>
    <t>Breel Embolo has been the best player on the pitch all match. Lol that ball was way too heavy from Embolo, could’ve put Zakaria through on goal. There was no need for Brooks to give a corner away there. Surely Danny Ward is too good not to be playing any games of club football.</t>
  </si>
  <si>
    <t>[["danni", 0.6524178958375884], ["ward", 0.46897502906344857], ["bow", 0.2536668526526159], ["club", 0.22883118957555731], ["final", 0.22155839529966628], ["deserv", 0.2166852506721049], ["savag", 0.21027599517822945], ["commit", 0.1297546578375634], ["2017", 0.12053727783548203], ["foul", 0.11389037162351473], ["how", 0.1047300776247853], ["non", 0.10470193588770045], ["goalscor", 0.10456078315589108], ["header", 0.1032370734173761], ["save", 0.09791758139779841]]</t>
  </si>
  <si>
    <t>Celtic Football Club im not saying sign danny ward but... Two excellent saves from Ward in the final minutes to keep a point for #WAL The offside flag was up for the second one, but still. Danny Ward having the game of his life here. What a player.</t>
  </si>
  <si>
    <t>[["danni", 0.4049389907978658], ["ward", 0.4041185005162388], ["offsid", 0.38567414558883867], ["gavranov", 0.37844327659327776], ["rule", 0.3684569584030672], ["wife", 0.3526928843330041], ["scream", 0.17559927902771183], ["swiss", 0.17439335298640463], ["switzerland", 0.17333830089751073], ["take", 0.17117732129015592]]</t>
  </si>
  <si>
    <t>Danny Ward fucking hell he needs to leave Leicester. Danny ward has been exceptional today. but Switzerland should be winning. #WALSUI Gavranovic would be a class player if there was no offside rule in football. The 25% of Swiss in me is screaming for a winning goal #SUI.</t>
  </si>
  <si>
    <t>[["2017", 0.6398425131347043], ["game", 0.3594243130898323], ["produc", 0.34814641703083726], ["masterclass", 0.29054938511713196], ["ethan", 0.20126051193932043], ["21st", 0.17097221818150515], ["ecstasi", 0.16231823818212818], ["given", 0.1596373484935279], ["pass", 0.1577210677564956], ["ward", 0.15652134512188856], ["pint", 0.14914642269263884], ["go", 0.14913325427151358], ["leagu", 0.14267047230621446], ["draw", 0.14144662891961404]]</t>
  </si>
  <si>
    <t>Oh baby it's you. Ethan Ampadu. That makes me love you. Now I'm living in ecstasy. 90 minutes of Gareth Bale going missing in a key game of football. Danny Ward hasn't played a league game since 2017. He's produced a masterclass for Wales at Euro 2020! 🏴󠁧󠁢󠁷󠁬󠁳󠁿.</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</si>
  <si>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</si>
  <si>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</si>
  <si>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[["car", 0.8549295440490254], ["let", 0.27968875483081734], ["suit", 0.27968875483081734], ["remot", 0.16822355108333906], ["control", 0.16006151508297495], ["deliv", 0.15043723393091402], ["toy", 0.1401597481060244], ["want", 0.1282532941597379]]</t>
  </si>
  <si>
    <t>That car must be brought into the premiership -the car presentation of the ball was brilliant 👏🏽👏🏽#TURITA. Nice of Insigne to let them use his car to bring out the match ball. Bocelli. The remote control car. The crowd noise. Bobby Mancini’s suit.. Euro 2020 is tremendous already.</t>
  </si>
  <si>
    <t>[["come", 1.0]]</t>
  </si>
  <si>
    <t>@PizzaExpress COME ON ITALY 🇮🇹 #ITA. Come on Berardi. Come on Turkey #TUR. Come on Mancini. Come on Euro 2021 #TURITA.</t>
  </si>
  <si>
    <t>[["eye", 1.0]]</t>
  </si>
  <si>
    <t>Got my eye on Locatelli here. My eye on locatelli, barella, and Celik. @JonnyFX1 keep a eye on Locatelli and Barella in the midfield for italy absolute ballers 😤. Eyes on Barella tonight 🧐. Eyes down for #TURITA.</t>
  </si>
  <si>
    <t>[["small", 1.0]]</t>
  </si>
  <si>
    <t>Insigne is so small it’s hilarious. Insigne is a small man. Insigne is small 🤏🏼. Didn’t know insigne was that small jheez EURO 2020. Insigne 😭😭😭😭😭😭. To my small kings out there. If Insigne can make it. SO CAN YOU👑. Insigne to score. Bro is Insigne that small ?😂.</t>
  </si>
  <si>
    <t>[["lorenzo", 1.0]]</t>
  </si>
  <si>
    <t>Lorenzo insigne is so good. Lorenzo Insigne is the same height as the queen. @cringesocringee Lorenzo Insigne is the driver. Nice of them to let Lorenzo Insigne drive to the game.. Still can't get over how short Lorenzo Insigne is. EURO 2020.</t>
  </si>
  <si>
    <t>[["curl", 0.6666666666666666], ["target", 0.3333333333333333], ["midget", 0.3333333333333333], ["napoli", 0.3333333333333333], ["chanc", 0.3333333333333333], ["better", 0.2153516458503781], ["gotta", 0.17302925364211294], ["finish", 0.13528162428391033], ["done", 0.12843106810972454]]</t>
  </si>
  <si>
    <t>Insigne should be doing better there. No curl at all. Lorenzo Insigne is a brilliant player but he plays for Napoli... Chance for Insigne. Should’ve at least hit the target from there. Insigne just bottled me like 8 points fuck this midget.</t>
  </si>
  <si>
    <t>[["bonucci", 0.6706282397358853], ["immobil", 0.5142458896265253], ["yard", 0.39086583459944013], ["wtf", 0.2808908017686974], ["shoot", 0.2326653947100709]]</t>
  </si>
  <si>
    <t>@AgyeiAgenda_ He is 5’4 and Bonucci is 6’2 tbf. Bonucci wtf is that. @ankitpathak04 @rohan8r Bonucci is my captain today. Bonucci shooting from 40 yards. Lmao immobile expecting pass from bonucci these juve boys that love to shoot from 35 yards. Immobile up for this tournament.</t>
  </si>
  <si>
    <t>[["deni", 0.7559289460184544], ["penalti", 0.3779644730092272], ["header", 0.3779644730092272], ["cakir", 0.3779644730092272]]</t>
  </si>
  <si>
    <t>Immobile needed to look up on that run. 100% not a penalty. Watching insigne try to win headers is an art form. (22) - Cheilini with the header from the corner and it's well saved by Cakir. Çakir with a terrific save to deny Chiellini. Italy ramping up the pressure though.</t>
  </si>
  <si>
    <t>[["soyuncu", 0.9645915957918777], ["ball", 0.26374808687017776]]</t>
  </si>
  <si>
    <t>Is soyuncu supposed to be good on the ball. Soyuncu is suffering over there. Soyuncu has to stop losing the ball😂. Soyuncu get out and let my boy Kabak ball. How is Soyuncu this bad. Soyuncu playing as if it's Premier League. Soyuncu not on his game today. EURO 2020.</t>
  </si>
  <si>
    <t>[["offsid", 1.0]]</t>
  </si>
  <si>
    <t>Yilmaz is always offside 😭. EURO 2020. Does yilmaz know the offside rule, moving like jesus. Name: Burak Yilmaz. Place of birth: Offside. In-play to get caught offside 3 more odds you giving @KingPaul_AFC. Burak Yilmaz has been watching Alvaro Morata lately it looks like #Offside.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</si>
  <si>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</si>
  <si>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[["header", 1.0]]</t>
  </si>
  <si>
    <t>IMMOBILE MISSED HEADER SHITE. Immobile header. A close header by Immobile even though he was backtracking. EURO 2020. Immobile’s header wide. Immobile close with his header, the home side are going through the gears just now Italy 0 Turkey 0. Euro 2020 On DStv.</t>
  </si>
  <si>
    <t>[["dive", 0.4472135954999579], ["yilmaz", 0.4472135954999579], ["spinazzola", 0.4472135954999579], ["ref", 0.4472135954999579], ["jermain", 0.3173523693157658], ["jena", 0.31509914898277613]]</t>
  </si>
  <si>
    <t>If it's a dive, then why hasn't Yilmaz been booked? This Spinazzola is a right player, him and Insigne are dangerous down that left. Spinazzola has been the brightest in this team so far. euro 2020. Wtf is this ref 💀💀 celik was playing basketball in the box.</t>
  </si>
  <si>
    <t>[["yellow", 0.4472135954999579], ["handbal", 0.4472135954999579], ["penalti", 0.4472135954999579], ["giorgio", 0.4472135954999579], ["pen", 0.4472135954999579]]</t>
  </si>
  <si>
    <t>Totally understand why Italy are asking for the pens cause in serie a any time it hits an arm its a pen yilmaz dive was a shocker too been a good game so far. Wasn't that a foul on Barella inside the box? And that handball at the end is a penalty too?</t>
  </si>
  <si>
    <t>[["second", 1.0]]</t>
  </si>
  <si>
    <t>A goal from Insigne or Immobile second half. EURO 2020. Chiesa second half needed. Berardi and Locatelli haven’t impressed me so far, big second half needed from both. Bring on chiesa at the second half pls. @FCBGox I picked Berardi hoping for second half masterclass.</t>
  </si>
  <si>
    <t>[["bu", 1.0]]</t>
  </si>
  <si>
    <t>This is what we call ‘parking the bus’ #ITATUR. Turkish team playing the entire first half from their team bus. Uefa Euro 2020 #TURITA. Will the car return for the second half or is it stuck behind that bus Turkey have parked ? #TURITA.</t>
  </si>
  <si>
    <t>[["second", 0.5773502691896257], ["car", 0.4571836196015862], ["rio", 0.4228997773057019], ["whi", 0.3525854099382523], ["citi", 0.3066461092223125], ["man", 0.24588061205987485]]</t>
  </si>
  <si>
    <t>✅✅Second in-play bet WON out of 2 in #TURITA. Let's get more in the second half, should we?🤔. I think Manchester City’s living rent free in Rio’s head, guy just said man city instead of Mancini 😂🤧. Has Rio really just called Mancini Man City? 🤣🤣 euro 2020.</t>
  </si>
  <si>
    <t>[["ref", 1.0]]</t>
  </si>
  <si>
    <t>Thanks ref #TUR #ITA. Is the var ref. Turkish ?, shame ! Euro 2021 #ITATUR. The Italians were not happy at all with the decisions made by the ref and VAR this 1st half! 😠. #ITA vs #TUR. EURO 2020.</t>
  </si>
  <si>
    <t>Lorenzo insigne too short. One of Lorenzo Insigne’s first half chances. 🌋 Euro 2020. @Mr_Blavo 😁 Lorenzo Insigne that. Napoli. And why did Lorenzo Insigne bring the ball on in his car?.</t>
  </si>
  <si>
    <t>[["yazici", 0.6548315385632718], ["florenzi", 0.5448630115420333], ["cengiz", 0.3274157692816359], ["second", 0.2753979620116769], ["sub", 0.24478109160560885], ["underway", 0.17707921530800957]]</t>
  </si>
  <si>
    <t>Cengiz Under coming on, finally an outlet for Turkey on the break. Turkey bring on Cenzig Under for the second half, replacing Yazici. Italy also make a sub, Di Lorenzo on for Florenzi. EURO 2020. @eggheadnoyoke Let me and Yazici are not in this game. Burak can't score.</t>
  </si>
  <si>
    <t>Berardi absolute clown. How can you be offside there 😂. This Yilmaz don is the new Benteke why tf is he always offside. There's no way that offside call was correct. Unless the rules have changed, I'm pretty sure you can't be offside from a corner or throw-in.#TURITA #euro.</t>
  </si>
  <si>
    <t>Under for Yazici</t>
  </si>
  <si>
    <t>[["demir", 0.4071220201079885], ["kabak", 0.2781255049696774], ["unlucki", 0.2781255049696774], ["poor", 0.2781255049696774], ["deserv", 0.2781255049696774], ["juventu", 0.2781255049696774], ["assist", 0.2781255049696774], ["spur", 0.2781255049696774], ["lmao", 0.2781255049696774], ["unfortun", 0.2781255049696774], ["itatur", 0.2781255049696774], ["juve", 0.24640149268380973]]</t>
  </si>
  <si>
    <t>Demiral linked to spurs and he does that haha, ofcourse. Demiral is a calamity , can see why he's not getting any game time at juve. Soooooo is that an assist for berardi as per euro fantasy rules? 👀👀. Kabak should have started ahead of this guy that scored the own goal.</t>
  </si>
  <si>
    <t>Di Lorenzo for Florenzi</t>
  </si>
  <si>
    <t>[["come", 0.5], ["spinazzola", 0.5], ["cross", 0.5], ["merih", 0.5]]</t>
  </si>
  <si>
    <t>Spinazzola has been the best player on the pitch by quite some way. Watching Spinazzola has probably been the most enjoyable part of this game. Best name of the tournament so far "Spinazzola" euro 2020. Merih Demiral(Turkish) has scored the first goal of the Euros.!!</t>
  </si>
  <si>
    <t>Demiral (own goal)</t>
  </si>
  <si>
    <t>[["insign", 0.4472135954999579], ["tufan", 0.4472135954999579], ["assist", 0.4472135954999579], ["locatelli", 0.4472135954999579], ["spur", 0.4472135954999579]]</t>
  </si>
  <si>
    <t>That assist from Berardi counts or not? Sorry Demiral, that’s what you get for being linked with Spurs. Im impressed with what Locatelli is doing. Locatelli has so much to his game.. @ben_cook_2005 i have Insigne and Berardi but put Insigne as captain.</t>
  </si>
  <si>
    <t>Ayhan for Tufan</t>
  </si>
  <si>
    <t>[["chiesa", 0.5830870627837321], ["cakir", 0.37504433205269644], ["kabak", 0.37504433205269644], ["pitch", 0.37504433205269644], ["sub", 0.3120520360369838], ["berardi", 0.23808080599123163], ["need", 0.22346967326244324], ["fuck", 0.18449142515411274]]</t>
  </si>
  <si>
    <t>Euro 2021 #TURITA This Cakir fella is fucking good. Chiesa for Berardi is so needed. Bring on Kabak and Turkey will win this 😏😏. Get Berardi off the pitch he is playing against them. Time for Chiesa to step in Berardi's place! #Tur #ITA. It's time to sub in Chiesa and Belloti.</t>
  </si>
  <si>
    <t>Kahveci for Yokuşlu</t>
  </si>
  <si>
    <t>[["barella", 0.5773502691896257], ["immobil", 0.5773502691896257], ["spinazzola", 0.5773502691896257]]</t>
  </si>
  <si>
    <t>Barella is a don. Barella is a baller. Barella is the best player on the pitch he’s so fucking good Euro 2020. @NotAfcZek @hsznnnnn Immobile. Spinazzola is a player. The entire fucking team tbh. Insigne, Barella, Spinazzola. You could not chat to me if my name was Spinazzola.</t>
  </si>
  <si>
    <t>Immobile</t>
  </si>
  <si>
    <t>[["spinazzola", 0.4079667735781295], ["captain", 0.33363387235473596], ["barella", 0.33363387235473596], ["scorer", 0.27171808082388016], ["top", 0.19354001726656853], ["he", 0.16681693617736798], ["mobil", 0.16681693617736798], ["kabak", 0.16681693617736798], ["ff", 0.16681693617736798], ["rebound", 0.16681693617736798], ["deserv", 0.16681693617736798], ["italia", 0.16681693617736798], ["decent", 0.16681693617736798], ["point", 0.16681693617736798], ["movement", 0.16681693617736798], ["right", 0.16681693617736798], ["cakir", 0.16681693617736798], ["that", 0.16681693617736798], ["ciro", 0.14716433793275557], ["great", 0.14198577294725517], ["striker", 0.13126361806135106], ["boot", 0.11872098464556087], ["golden", 0.11718881346098083], ["assist", 0.11429253756676547], ["proper", 0.10294538731311771], ["finish", 0.08756672014055664], ["move", 0.08328520390502658], ["gr8", 0.08110606452689578], ["immobil", 0.07855283468098259]]</t>
  </si>
  <si>
    <t>Immobile, always in the right place at the right time, quality striker. Italy score again immobile could be a shout for top scorer. Barella did so well in the build-up to that but yet again Spinazzola is the man. Oh captain my captain, another goal would be great @ciroimmobile.</t>
  </si>
  <si>
    <t>Cristante for Locatelli</t>
  </si>
  <si>
    <t>[["insign", 0.6324555320336759], ["poacher", 0.31622776601683794], ["kabak", 0.31622776601683794], ["fantasi", 0.31622776601683794], ["name", 0.31622776601683794], ["doubl", 0.2560559598418717], ["hors", 0.22380060776888966], ["dark", 0.2234128196014624], ["lead", 0.18556763033853124]]</t>
  </si>
  <si>
    <t>That's game, set, match for Italy. Poacher's goal for Immobile 🔥🙌. Insigne needs to come off , Chiesa should be playing. What a great name for a footballer: "Immobile". 😀 Euro 2021. Would still be 0-0 if Kabak was playing. Just saying.</t>
  </si>
  <si>
    <t>Dervisoglu for Karaman</t>
  </si>
  <si>
    <t>[["rebound", 0.7071067811865476], ["merih", 0.4523424087646602], ["demir", 0.44890235152048663], ["goal", 0.30638704938747413]]</t>
  </si>
  <si>
    <t>Ciro Immobile scores through a rebound from Spinazolla's extend their lead to 2 goals... #ITA 2-0 #TUR. The first goal in EURO 2020 is an own goal from not so Merih Demiral. Italy lead. Immobile pounces on the rebound to put Italy up by two! EURO 2020.</t>
  </si>
  <si>
    <t>Insigne</t>
  </si>
  <si>
    <t>[["class", 0.5], ["cristant", 0.5], ["bryan", 0.5], ["demir", 0.3412149962651658], ["merih", 0.23759872282722352], ["championship", 0.2006459743856519], ["european", 0.19199053673935979]]</t>
  </si>
  <si>
    <t>Bryan Cristante playing a Euro... this is not a real football tournament. Merih Demiral’s own goal is the first time in European Championship history, the opening goal, has been an own goal.. You have to feel for Demiral. 💔. #Demiral #Turkey #Turkiye EURO 2020 EURO 2021.</t>
  </si>
  <si>
    <t>Chiesa for Insigne</t>
  </si>
  <si>
    <t>[["goal", 0.3648088494525381], ["baller", 0.3420094164946661], ["masterclass", 0.3420094164946661], ["class", 0.3420094164946661], ["dey", 0.3420094164946661], ["spinazzola", 0.3420094164946661], ["insign", 0.2801255129902433], ["demir", 0.2332625266262826], ["merih", 0.20130240902748683], ["unfortun", 0.19650025806975543], ["need", 0.19621452021442], ["first", 0.17761035979119089]]</t>
  </si>
  <si>
    <t>I predicted Italy to win by 2-0. But now I need insigne to score. Unwanted history for Merih Demiral, Euro 2020 open with an own goal. It is the first time in Euro history that the opening goal of the tournament is an own goal. 🙃.</t>
  </si>
  <si>
    <t>Belotti for Immobile</t>
  </si>
  <si>
    <t>[["insign", 0.46094328333363455], ["lorenzo", 0.21624135824212218], ["assist", 0.21624135824212218], ["deserv", 0.21624135824212218], ["beauti", 0.21624135824212218], ["itatur", 0.21624135824212218], ["great", 0.21624135824212218], ["class", 0.21624135824212218], ["cakir", 0.21624135824212218], ["small", 0.21624135824212218], ["kabak", 0.21624135824212218], ["belotti", 0.21624135824212218], ["nice", 0.21624135824212218], ["captain", 0.19228809271246128], ["third", 0.1918423962732652], ["done", 0.19158142262486785], ["littl", 0.1897776268338497], ["finish", 0.1811804757179553], ["fantasi", 0.16452998608451438], ["job", 0.10028401427660141], ["rampant", 0.09978386646411994]]</t>
  </si>
  <si>
    <t>I had insigne in my team and captained up until 3 minutes before the game, my captain subbed off, I’m on depression watch. Insigne deserves that goal top player great finish as well 👊. Insigne off, belotti on. immobile off, chiesa on. some depth there.</t>
  </si>
  <si>
    <t>Bernardeschi for Berardi</t>
  </si>
  <si>
    <t>[["finess", 0.6030226891555273], ["chiesa", 0.6030226891555273], ["masterclass", 0.30151134457776363], ["underr", 0.30151134457776363], ["ball", 0.30151134457776363]]</t>
  </si>
  <si>
    <t>Insigne with the finesse shot 🔥 0-3 Italy. This has been a masterclass by the Italians, Jorginho in particular. That finesse is a classic Insigne goal 😂. Ten minutes of chiesa ball to save me. Chiesa. Was waiting for this lad to come on. Mancini ball in 2021 you love to see it.</t>
  </si>
  <si>
    <t>Söyüncü</t>
  </si>
  <si>
    <t>[["underr", 0.5773502691896257], ["finess", 0.5773502691896257], ["histori", 0.25344654691723817], ["championship", 0.2322307845479664], ["goal", 0.23119077582531564], ["first", 0.2308591469799707], ["european", 0.22296301797370474], ["time", 0.1871035626111206], ["score", 0.15395347609115673]]</t>
  </si>
  <si>
    <t>1 - This is the first time in European Championship history that the first goal of the tournament has been an own goal. Unfortunate. EURO 2020 #TURITA. Mancini is such an underrated manager #Italy. Finesse shot. #TURITA. That Insigne Goal Is Fifa 21 Finesse Esque Lol.</t>
  </si>
  <si>
    <t>Dervisoglu</t>
  </si>
  <si>
    <t>[["brilliant", 0.6636208583758312], ["point", 0.3970695624476621], ["assist", 0.3970695624476621], ["captain", 0.3970695624476621], ["jorginho", 0.22868599256637476], ["excel", 0.18524945577605198]]</t>
  </si>
  <si>
    <t>@agbnufc_ 6 points on berardi I'll take it. @FPLReaction Immobile Goal and Assist as my captain I’m happy with that. Immobile goal and assist 6 points babeeeaa 🤪🤪🤪🤪🤪🤪. Jorginho has been excellent. He is a brilliant player to have if your team has a lot of the ball.</t>
  </si>
  <si>
    <t>[["bernardeschi", 0.8164965809277261], ["lorenzo", 0.4082482904638631], ["ever", 0.19819316288003377], ["score", 0.16896231744925036], ["time", 0.1646612540396496], ["first", 0.16012873833451094], ["singl", 0.12935275581086841], ["least", 0.12656506711718943], ["goal", 0.11546635468263802]]</t>
  </si>
  <si>
    <t>Bernardeschi is player I rate but he’s really frustrating at times. Bernardeschi with the only minutes he should be seeing this whole tournament. Bernardeschi speaking after playing the last 6 mins in the first game of the Euro..</t>
  </si>
  <si>
    <t>[["rice", 0.4472135954999579], ["yellow", 0.4472135954999579], ["soyuncu", 0.4472135954999579], ["barella", 0.4472135954999579], ["ciro", 0.29144310369410553], ["immobil", 0.28260463234863337], ["14th", 0.18760474163581425]]</t>
  </si>
  <si>
    <t>@ChelsForLife32 Rice stans trying to explain why Rice is better than Jorginho. Why does Soyuncu have a different name on his shirt? Söyüncü getting the first yellow card of the tournament... #TUR. 🇮🇹 Ciro Immobile celebrates his 14th international goal for Italy ⚽️. EURO 2020.</t>
  </si>
  <si>
    <t>[["histori", 0.8003472250750046], ["goal", 0.5995367539315168]]</t>
  </si>
  <si>
    <t>This is the first time in European Championship history that the opening goal of the tournament has been an own goal. Merih Demiral goes into the history books. EURO 2020. The first goal of Euro 2020 is here! #ITA.</t>
  </si>
  <si>
    <t>[["chiellini", 0.8774246912871045], ["barella", 0.20097883108578254], ["block", 0.20097883108578254], ["defend", 0.16420514421490448], ["class", 0.15702935308220084], ["fuck", 0.15611365587960838], ["sheet", 0.1419002682153043], ["tackl", 0.14060484731352477], ["man", 0.11482898471073508], ["clean", 0.10612841275938366], ["donnarumma", 0.09483440530844335]]</t>
  </si>
  <si>
    <t>Chiellini ya fucking nonce what you blocked it for I need a goal. Chiellini man just let that go in i need the fantasy points. Chiellini wow 👏 what a player how old is he now. What a tackle, Chiellini is one of my favourite defenders in world football.</t>
  </si>
  <si>
    <t>[["demir", 0.5345224838248488], ["great", 0.5345224838248488], ["impress", 0.2672612419124244], ["immobil", 0.2672612419124244], ["bernardeschi", 0.2672612419124244], ["motm", 0.2672612419124244], ["done", 0.2372269282483153], ["sheet", 0.21002999260436983], ["clean", 0.16527544776880745], ["well", 0.12309328146751176]]</t>
  </si>
  <si>
    <t>Final: Italy beat Turkey 3-0 to kick off Euro 2020. 🇮🇹. ⚽️ Demiral (own goal) ⚽️ Immobile. ⚽️ Insigne. Great win for Italy. My picks off to a great start #turita euro 2020. If Bernardeschi can play for Italy on the Euro’s, you can get that girl.</t>
  </si>
  <si>
    <t>[["car", 0.7447267280806763], ["remot", 0.3571680737513323], ["deliv", 0.35540567440356047], ["control", 0.3377060042684884], ["ball", 0.2783065375764205]]</t>
  </si>
  <si>
    <t>Insigne was defo driving that car with the ball in 😂. Can some explain to me why there was a modified VW remote control car delivering the ball to the referee? #ITA #TUR. That car must be brought into the premiership -the car presentation of the ball was brilliant 👏🏽👏🏽#TURITA.</t>
  </si>
  <si>
    <t>[["target", 0.7904683026741692], ["hit", 0.6125029489458954]]</t>
  </si>
  <si>
    <t>Insigne you have to hit the target…. That was a nice move. Insigne has to hit the target at least! Good inter play. Insigne has to hit the target there. Italy cut turkey open with ease though. Chance for Insigne. Should’ve at least hit the target from there.</t>
  </si>
  <si>
    <t>[["penalti", 0.7071067811865476], ["header", 0.620345289039733], ["save", 0.33936959552412804]]</t>
  </si>
  <si>
    <t>That should be a penalty , but great skill by immobile. Immobile needed to look up on that run. 100% not a penalty. What a header by Chiellini, but what a save by the goalkeeper. What a piece of play! Lovely header and an even better save #Ita #Tur.</t>
  </si>
  <si>
    <t>[["offsid", 0.9040857763613933], ["jermain", 0.34853323819035026], ["jena", 0.24729231863841933]]</t>
  </si>
  <si>
    <t>Jermaine Jenas. “Chiellini left wide open again”. Yes that probably why he was offside 🤷‍♂️🤷‍♂️🤷‍♂️. There's no one marking him because he's a mile offside, Jermaine. #TURITA. Yilmaz is always offside 😭. EURO 2020. Name: Burak Yilmaz. Place of birth: Offside.</t>
  </si>
  <si>
    <t>[["soyuncu", 1.0]]</t>
  </si>
  <si>
    <t>Is soyuncu supposed to be good on the ball. Soyuncu has to stop losing the ball😂. It's good pressing from Italy, but Söyüncü and Demiral not showing what they can do on the ball so far. Soyuncu get out and let my boy Kabak ball.</t>
  </si>
  <si>
    <t>[["dive", 0.5], ["spinazzola", 0.5], ["ref", 0.5], ["yellow", 0.5]]</t>
  </si>
  <si>
    <t>Would like yilmaz to have gotten a yellow for that dive. This Spinazzola is a right player, him and Insigne are dangerous down that left. Wtf is this ref 💀💀 celik was playing basketball in the box. What is a hand ball? Because clearly, this ref doesn’t know. #Ita Euro 2021.</t>
  </si>
  <si>
    <t>[["handbal", 0.5773502691896257], ["penalti", 0.5773502691896257], ["pen", 0.5773502691896257]]</t>
  </si>
  <si>
    <t>That's a pen all day long and I'm Turkish 😭😭 #ita #tur. Have they changed the handball rule again, cos that was a penalty a few months ago! #TURITA euro 2020. That is 100% a penalty ! And it had nothing to do with me having Jorginho to score a penalty ! 😅.</t>
  </si>
  <si>
    <t>[["chiesa", 0.7425544425916044], ["need", 0.6697857118418336]]</t>
  </si>
  <si>
    <t>Chiesa needs to come on. Italy need to bring on chiesa. Get chiesa on i need the fantasy points. Chiesa needs to come on in the second half. Chiesa will need to be introduced in the second half. Chiesa needed. C A R E F R E E Chiesa Needed. Bring on chiesa at the second half pls.</t>
  </si>
  <si>
    <t>✅✅Second in-play bet WON out of 2 in #TURITA. Let's get more in the second half, should we?🤔. Chiesa and Verratti have to be introduced in second half. Second half #TURITA EURO 2020. Di Lorenzo coming on for Italy for the second half and Ünder coming on for Turkey.</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</si>
  <si>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</si>
  <si>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[["highlight", 0.5773502691896257], ["second", 0.5773502691896257], ["sub", 0.408547021908918], ["florenzi", 0.40794934026504737]]</t>
  </si>
  <si>
    <t>First half highlight - that is it. #ITATUR Euro 2020. Yazici (TUR) and Florenzi (ITA) both subbed at HT Euro Fantasy. Second half is under way #TUR 0-0 #ITA. Really good reaction sub from Mancini bringing in Di Lorenzo for Florenzi. Florenzi subbed off, rip my fpl.</t>
  </si>
  <si>
    <t>Berardi absolute clown. How can you be offside there 😂. Since when has the offside rule been changed so that you can be offside from a corner? Can you be offside from throwings now too? #TURITA EUROS 2020. Can literally anyone explain how this is offside?? EURO 2020.</t>
  </si>
  <si>
    <t>[["assist", 0.6666666666666666], ["demir", 0.3333333333333333], ["spur", 0.3333333333333333], ["juve", 0.3333333333333333], ["juventu", 0.3333333333333333], ["kabak", 0.2767669791539066], ["clear", 0.18577176954836871]]</t>
  </si>
  <si>
    <t>Kabak should have started ahead of this guy that scored the own goal. Demiral linked to spurs and he does that haha, ofcourse. Soooooo is that an assist for berardi as per euro fantasy rules? 👀👀. Demiral plays in Italy for juventus, how is this a surprise own goal😂.</t>
  </si>
  <si>
    <t>[["spinazzola", 0.8164965809277261], ["cross", 0.4082482904638631], ["deserv", 0.3534050738769126], ["lead", 0.20438082205706254]]</t>
  </si>
  <si>
    <t>Italy deserve to be leading and the Spinazzola guy is cooking. Spinazzola has been the best player on the pitch by quite some way. Goal: Italy 1, Turkey 0. Demiral turned Locotelli’s cross into his own net. euro 2020. Best name of the tournament so far "Spinazzola" euro 2020.</t>
  </si>
  <si>
    <t>[["ff", 0.35355339059327373], ["deserv", 0.35355339059327373], ["rebound", 0.35355339059327373], ["barella", 0.35355339059327373], ["poacher", 0.35355339059327373], ["baller", 0.35355339059327373], ["spinazzola", 0.35355339059327373], ["immobil", 0.27223259350692186], ["score", 0.22558682371205785]]</t>
  </si>
  <si>
    <t>Barella is a baller man, can't wait to see him with veratti. As long as immobile can score off rebounds in the box, he’s fine. Scoring a poachers goal fits in with immobile very well. Spinazzola with the first shot. He has been amazing in this opening game.</t>
  </si>
  <si>
    <t>[["striker", 0.5], ["barella", 0.5], ["assist", 0.3979262007906552], ["insign", 0.3842040336742438], ["need", 0.3199800939252949], ["spinazzola", 0.30274533642042306]]</t>
  </si>
  <si>
    <t>Insigne needs to come off , Chiesa should be playing. Need a turkey goal or an insigne goal. Man, this Barella guy is what we're missing! What a player! Italy's striker just scored but I thought he was Immobile. That barella turn and pass set up the goal. Spinazzola assist 👏🏽.</t>
  </si>
  <si>
    <t>[["doubl", 0.7688234930675597], ["lead", 0.6394610515953228]]</t>
  </si>
  <si>
    <t>Italy double the lead. Goal - IMMOBILE. Turkey 0-2 Italy (66 mins) #bangbet. Euro 2020. Italy double there lead against Turkey, Immobile did goal in 65'minute in euro cup.. Turkey 0- 2 Italy. Uefa Euro 2020. 2-0 Italy. Ciro Immobile doubles the lead!.</t>
  </si>
  <si>
    <t>[["class", 0.7071067811865476], ["demir", 0.527983607723039], ["merih", 0.3568102949892297], ["championship", 0.3064632496164311]]</t>
  </si>
  <si>
    <t>Top class. Locatelli been class. Barella oozes class. Merih Demiral’s own goal is the first time in European Championship history, the opening goal, has been an own goal.. You have to feel for Demiral. 💔. #Demiral #Turkey #Turkiye EURO 2020 EURO 2021. Jack 🇦🇷👑 Jorginho been class.</t>
  </si>
  <si>
    <t>[["baller", 0.5773502691896256], ["class", 0.5773502691896256], ["demir", 0.44039241221362213], ["merih", 0.3733468315092555]]</t>
  </si>
  <si>
    <t>Jorginho might be a baller ffs I lost. Berardi is a baller, never watched him before. This niggas making Jorginho look like a baller I'm sick. The first goal in EURO 2020 is an own goal from not so Merih Demiral. Italy lead. Jorginho has been class this past few months.</t>
  </si>
  <si>
    <t>[["insign", 0.5385782551638797], ["assist", 0.4652674888185008], ["finess", 0.4652674888185008], ["deserv", 0.2326337444092504], ["cakir", 0.2326337444092504], ["class", 0.2326337444092504], ["beauti", 0.1919161212777479], ["italia", 0.16854106842620328], ["score", 0.15388358263282834], ["itatur", 0.12702109156853292], ["turchia", 0.09786730602382325]]</t>
  </si>
  <si>
    <t>Insigne been the mvp of this game, well deserved goal. Italy have looked solid tonight , insigne been class , lovely finish then. Insigne showing us that he has the finesse shot trait. Insigne and immobile were playing too good not to get a goal of an assist.</t>
  </si>
  <si>
    <t>[["belotti", 0.3903066518375536], ["ball", 0.3903066518375536], ["championship", 0.3657898793493838], ["european", 0.3486628005627724], ["histori", 0.3077888358842187], ["captain", 0.2864819798559889], ["first", 0.2726124471062512], ["fantasi", 0.2650799081153342], ["time", 0.25825780180452224], ["demir", 0.1306509776799361], ["nessun", 0.10930457107323592], ["score", 0.10809475368121683], ["dorma", 0.10565944945251451]]</t>
  </si>
  <si>
    <t>Few in play bet wins and Insigne my fantasy captain. Lovely 🇮🇹. Mancini ball in 2021 you love to see it. 🗞️ 𝗙𝗼𝗼𝘁𝗯𝗮𝗹𝗹 𝗡𝗲𝘄𝘀 - EURO 2020. This is the first time in European Championship history that Italy has scored more than 2 goals in a game. #TUR 0-3 #ITA.</t>
  </si>
  <si>
    <t>[["bernardeschi", 0.8164965809277261], ["yellow", 0.4082482904638631], ["soyuncu", 0.30935365488086514], ["desper", 0.18974876240184016], ["book", 0.1869823254895694]]</t>
  </si>
  <si>
    <t>Soyuncu been desperate to get booked - 3 fouls worthy in the last 5 mins. Söyüncü getting the first yellow card of the tournament... #TUR. To this day idk how Bernardeschi is still a professional footballer. Bernardeschi is one of the worst player to play for Italy.</t>
  </si>
  <si>
    <t>[["histori", 1.0]]</t>
  </si>
  <si>
    <t>👏🔥🇮🇹 Lorenzo Insigne makes it 3, and makes history.. This is the first time in European Championship history that Italy has scored more than 2 goals in a game.. #TUR 0-3 #ITA EURO 2020. 🎥 ESPN FC.. The first goal in EURO 2020 is an own goal from not so Merih Demiral. Italy lead.</t>
  </si>
  <si>
    <t>[["chiellini", 0.7537539528815282], ["rice", 0.3952849755128556], ["defend", 0.3395418857062983], ["tackl", 0.292287362557992], ["class", 0.2215112420638913], ["still", 0.16067651299579636]]</t>
  </si>
  <si>
    <t>Chiellini celebrating a tackle 3-0 up. Love to see it. Chiellini is absolutely world class. What a player. Shows age does not matter. Chiellini - take a bow. Love to see that from a defender. What a tackle, Chiellini is one of my favourite defenders in world football.</t>
  </si>
  <si>
    <t>[["car", 0.9421928051392245], ["control", 0.2303593542956185], ["rocket", 0.22244137615927742], ["take", 0.09862616288161903]]</t>
  </si>
  <si>
    <t>How cute is it they used Insigne’s wee car to take the ball out for kick off 🤣. Actually love the remote control car carrying the ball to the players #ITA #TUR forza Azzurri! That car must be brought into the premiership -the car presentation of the ball was brilliant 👏🏽👏🏽#TURITA.</t>
  </si>
  <si>
    <t>[["mancini", 0.9043151401729398], ["dress", 0.3506201334735962], ["ball", 0.2434741244094612]]</t>
  </si>
  <si>
    <t>Mancini in that suit. Call it off - that combo should win the euros.. EURO 2020 #Mancini. Andrea Bocelli, Mancini’s jacket, the RC VW carrying the ball… proper Euro-madness to kick off EURO 2020. Mancini wins best dressed already for EURO 2020.</t>
  </si>
  <si>
    <t>[["uber", 0.5901723186473854], ["circl", 0.533533002143768], ["carri", 0.4794170439886659], ["nice", 0.37040311534731557]]</t>
  </si>
  <si>
    <t>It was fucking nice of Insigne to let his Uber carry the football to the centre circle😂.</t>
  </si>
  <si>
    <t>[["insign", 0.920049238668466], ["ff", 0.2797882302749131], ["target", 0.2742771310649287]]</t>
  </si>
  <si>
    <t>Insigne ffs!! How? I got this man to score first ffs 😂. Insigne has to score that. Italy have been class so far. #ITA. Insigne HAS to hit the target right there. Beautiful give go! #ITA. Insigne with a miss post-Liverpool Torres would have been proud of #TURITA.</t>
  </si>
  <si>
    <t>[["offsid", 0.7247703508939954], ["chiellini", 0.47788494376404905], ["save", 0.29391394966174716], ["var", 0.24557088121434334], ["cakir", 0.2303232414526285], ["ref", 0.21585795312942122]]</t>
  </si>
  <si>
    <t>Typical Immobile... pleading to the ref for a penalty... 😒. Jermaine Jenas. “Chiellini left wide open again”. Yes that probably why he was offside 🤷‍♂️🤷‍♂️🤷‍♂️. Chiellini was offside anyways, but a wonderful save by Çakir. Yilmaz has been offside 16 times in 30 mins. Impressive.</t>
  </si>
  <si>
    <t>[["half", 1.0]]</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</si>
  <si>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</si>
  <si>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</si>
  <si>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</si>
  <si>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[["pass", 0.8019779659755332], ["donnarumma", 0.4763858149012739], ["insign", 0.36039963575258466]]</t>
  </si>
  <si>
    <t>Turkey's strategy should be just pass it to Yilmaz 😭. Florenzi been watching videos on Masina? Loves an aimless pass down the line. Berardi gotta stop with these flipping chip passes. Insigne with a good attempt, turkish gk with a classic donnarumma save, right into his hands.</t>
  </si>
  <si>
    <t>[["jorginho", 0.5735148597798985], ["chiellini", 0.5429272313686127], ["dive", 0.2908102536917907], ["insid", 0.23552109024607898], ["final", 0.1720683925943388], ["jon", 0.16364041591055398], ["imposs", 0.1592996103064752], ["3rd", 0.15620100758995023], ["cakir", 0.15290634467700448], ["defend", 0.14582474478434923], ["turkish", 0.14553169774808808], ["plumber", 0.1396720309761626], ["keeper", 0.1301609055980398], ["pitch", 0.12524417176052338], ["best", 0.11021878131856637]]</t>
  </si>
  <si>
    <t>Turkey defending, Italy passing hoping to find some space, Immobile finally does but it's fairly easy for Çakir. 0-0 (44) Diving instead of cutting Chiellini inside... he isn't made for the big moments. Jorginho has to be the most boring footballer ever to play the game.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</si>
  <si>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</si>
  <si>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[["half", 0.6483801611960816], ["penalti", 0.362377006610141], ["jorginho", 0.30596033892044644], ["premier", 0.2989955401081619], ["spinazzola", 0.2604855100498161], ["leagu", 0.21366133435133705], ["rob", 0.14513076189078006], ["pen", 0.14513076189078006], ["assist", 0.13179596188459558], ["handbal", 0.12269007433559119], ["ref", 0.11263388265692749], ["play", 0.10764548933630383], ["win", 0.10476001513898049], ["pitch", 0.09810683595511299], ["dread", 0.09433742233380653], ["clars", 0.08988894965936883], ["var", 0.08783330681524348], ["possess", 0.08749525510019134]]</t>
  </si>
  <si>
    <t>Jorginho would have had a hatrick just of penalties if this was the premier league. Jorginho getting robbed of assists even in the national team. Wtf is this ref 💀💀 celik was playing basketball in the box. I just want insigne to get 2 goals this half. Is this too much to ask.</t>
  </si>
  <si>
    <t>[["pitch", 0.5935050067089506], ["jorginho", 0.5711753762499906], ["take", 0.5670189561003143]]</t>
  </si>
  <si>
    <t>Jorginho been the best player on the pitch. #ITA 👏 TAKE 👏 YOUR 👏BLOODY 👏 CHANCES 👏. Take Manuel off and bring on Pessina Italy ⭐️⭐️⭐️⭐️. Mourinho go take Spinazzola worry waaaaa. Take off Donnarumma and replace him with Belotti. Italy don't need a GK.</t>
  </si>
  <si>
    <t>[["pre", 0.6212627158122765], ["park", 0.4393571267989271], ["talk", 0.40676404115664494], ["instead", 0.20605336115486442], ["lita", 0.20605336115486442], ["half", 0.15788077982081802], ["handbal", 0.1476697573393109], ["xhaka", 0.14300823683230537], ["barella", 0.14144156881901282], ["spinazzola", 0.13399243167271982], ["domin", 0.12979916748858147], ["ball", 0.12944956715032233], ["that", 0.1286361015024197], ["jorginho", 0.12381029389850616]]</t>
  </si>
  <si>
    <t>How does a guy named Spinazzola end up becoming a footballer instead of a DJ?😂. EURO 2020. Jorginho doing the work of 2 players blud he's insane. All the pre-match talk about Locatelli and Barella in Italy’s midfield just for Jorginho to be the best player on the park.</t>
  </si>
  <si>
    <t>[["need", 1.0]]</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</si>
  <si>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</si>
  <si>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</si>
  <si>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</si>
  <si>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0.9451774477053672], ["corner", 0.32655718082621876]]</t>
  </si>
  <si>
    <t>Berardi absolute clown. How can you be offside there 😂. Well that is one of the most stupid ways of getting offside I've ever seen. #TURITA. The ball didn’t go forward? So it’s not offside? #ITA euro 2020. You can’t be offside from a corner! euro 2020 #ITA.</t>
  </si>
  <si>
    <t>[["demir", 0.8607143954255002], ["goal", 0.4106410237536429], ["locatelli", 0.23313657836667334], ["gol", 0.10983647857687195], ["defend", 0.10983647857687195], ["lead", 0.1098358361056187]]</t>
  </si>
  <si>
    <t>Was praising demiral 😭. finally a goal to set the deserved leaders up. Demiral been clarse all game by why is he trying to defend that with his chest. That goal was started by a beautiful ball in behind the lines by Locatelli, Berardi did well and Demiral couldnt do much about it.</t>
  </si>
  <si>
    <t>[["demir", 0.4786511040838529], ["merih", 0.418994168888637], ["deserv", 0.3936184651405993], ["goal", 0.3875248285413437], ["net", 0.2537468991979151], ["spinazzola", 0.22527160338413327], ["juventu", 0.22516353304845294], ["juve", 0.22206061502570476], ["berardi", 0.19610963431370515], ["player", 0.19137061421770982]]</t>
  </si>
  <si>
    <t>A Juventus player (Demiral) scores a goal, but it's not for his home country. It's an own goal and Italy lead. Italy 1-0 Turkey. 🔥🔥💪💪💙💙At least Juve players know what justice is... thanks Demiral... you are a real Juve player 🖤🤍.</t>
  </si>
  <si>
    <t>[["insign", 0.5184995672782924], ["cross", 0.43376639553508106], ["initali", 0.42127889037274924], ["deflect", 0.3919934847438076], ["strike", 0.25606907518138583], ["need", 0.2119033244279847], ["confus", 0.15012352512064658], ["pitch", 0.14272746183940113], ["juventu", 0.12520993675336703], ["best", 0.1239629848030536], ["happen", 0.118128600918521], ["teammat", 0.11614133518156997]]</t>
  </si>
  <si>
    <t>Demiral got confused seeing his Juventus teammates on the pitch. Happens to the best. Please Insigne do something...I need my points. Get an assist or goal🤲🏽🤲🏽🤲🏽. Insigne cuts in and tries to curl one, this time it takes a deflection over. 0-1 (57)</t>
  </si>
  <si>
    <t>[["shot", 0.8891341158517417], ["breakthrough", 0.4576467240443676]]</t>
  </si>
  <si>
    <t>Insigne shot. Locatelli just had a shot…. surely that just shows turkey are not dark horses. Chiellini shot. 14 shots later, #ITA finally open the scoring in EURO 2020.. 🇮🇹 Italy make the breakthrough in the opener via a Merih Demiral own goal ⚽️. EURO 2020.</t>
  </si>
  <si>
    <t>[["chiesa", 0.6581720614061766], ["berardi", 0.6180498822131141], ["pass", 0.42991148005223095]]</t>
  </si>
  <si>
    <t>#Berardi should remember that it’s not playing with Sassuolo and he need to pass as well Italy Turkey. Seriously sub berardi off for chiesa or for no one, he’s shit. The one time Berardi chooses to pass it leads to a goal😂. Take off Berardi and bring on Chiesa #ITA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</si>
  <si>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</si>
  <si>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</si>
  <si>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[["lead", 0.5888670980173166], ["scene", 0.5845686265644677], ["immobil", 0.47548390290138], ["gol", 0.29228431328223387]]</t>
  </si>
  <si>
    <t>Personally think Jorginho should be leading the goalscoring table with that handball. Immobile to score a few this tournament calling it now. Very very surprised that Immobile isn’t one of the strikers that we are looking at. He grantees you goals no matter what.</t>
  </si>
  <si>
    <t>[["immobil", 0.7672047779349079], ["move", 0.2857295802010881], ["barella", 0.259335322375096], ["turkish", 0.25045388198013047], ["bestyouunfollowmenowtbh", 0.2414636572693545], ["spinazzola", 0.1946865149611028], ["didnt", 0.19126722779176172], ["save", 0.18574492538591028], ["cakir", 0.16089384490569106], ["defend", 0.08120827131367042]]</t>
  </si>
  <si>
    <t>Immobile scores the second and it's game, set and match. euro 2020. Cakir obviously won’t like conceding but what a first save that was on the deflection👀. #Turkey #Italy. The turkish defenders didn’t move, it was almost as if they were immobile...</t>
  </si>
  <si>
    <t>[["footbal", 0.5750917809324794], ["time", 0.5601444802121289], ["cruis", 0.44306627102963947], ["full", 0.39899860183675234]]</t>
  </si>
  <si>
    <t>Letting someone like Mancini waste his time in international football is mad. I hate football Football 😶. #TURITA. The irony of having a footballer player called Immobile who is surprisingly very mobile Euro 2021. Italy cruise into a 2️⃣➖0️⃣ lead 🛵 #ITA.</t>
  </si>
  <si>
    <t>[["lead", 0.6401189428769368], ["fire", 0.6401015759129188], ["ciro", 0.4248737594673395]]</t>
  </si>
  <si>
    <t>I really, really hope the Lazio stadium DJ plays La donna e mobile whenever Ciro Immobile scores. 2-0 Italy. Ciro Immobile doubles the lead!. ITALY LEAD 2-0! 🇮🇹. Ciro Immobile with his first goal of EURO 2020 💥. 📸 Immobile fires in second for Italy against Turkey ⚽️. EURO 2020.</t>
  </si>
  <si>
    <t>[["14th", 0.9262159278531592], ["locatelli", 0.3769934415757272]]</t>
  </si>
  <si>
    <t>Locatelli, what a player. Locatelli - De Paul - Partey. Midfield goes from ass to class. I'm on my knees Arsenal. Locatelli is a quality player. How dare Mancini take off Locatelli 😂. 🇮🇹 Ciro Immobile celebrates his 14th international goal for Italy ⚽️. EURO 2020.</t>
  </si>
  <si>
    <t>[["jorginho", 0.942364885314528], ["regista", 0.3345869437472667]]</t>
  </si>
  <si>
    <t>How the fuck do you get Verratti back into this XI? Jorginho's been class. What version of jorginho is this?!! 👀😲🙆... He's playing too many forward passes 😭😭😭. Jorginho is a great player, dunno who needs to hear this. Jorginho balling in midfield, things you love to see.</t>
  </si>
  <si>
    <t>[["insign", 0.716363466872146], ["gol", 0.5069478415775114], ["spinazzola", 0.3332173194377016], ["pitch", 0.22362505395299828], ["win", 0.19958540829823604], ["final", 0.17014989661037072]]</t>
  </si>
  <si>
    <t>Spinazzola and Immobile are the only players playing football tonight. Fam these man have to take insigne off set pieces. If Italy will win the euros insigne surely should win the ballon d'or right?!?!?!?!?!?!?!? Took Insigne like 6 attempts at the same finish to finally score it.</t>
  </si>
  <si>
    <t>[["insign", 0.7534767942577076], ["keeper", 0.4630850693180597], ["pass", 0.3166349387798923], ["finess", 0.30986170089716003], ["defend", 0.14680933536661944]]</t>
  </si>
  <si>
    <t>Insigne needed to score after all the short jokes 😭 happy for the guy. Insigne showing us that he has the finesse shot trait. 3-0. Insigne gets his deserved goal. The Turkey keeper with a brilliant pass to start the move and it ends up in a simple finish.</t>
  </si>
  <si>
    <t>[["jorginho", 0.5627192927015302], ["seen", 0.27697113217746133], ["chiesa", 0.2723068708547841], ["champion", 0.2643562973531905], ["ive", 0.2544363706715349], ["enough", 0.2510640395600395], ["sub", 0.24288787693087371], ["footbal", 0.24068738105579782], ["well", 0.220791440983538], ["carri", 0.15256698238831637], ["good", 0.14079063425287464], ["form", 0.13041694155013905], ["win", 0.12445548531125467], ["deadars", 0.12352517451742225], ["nut", 0.12275516907679222], ["nah", 0.12233515111118325], ["espn", 0.12133831168347466], ["treat", 0.10931151842502651], ["that", 0.10636340611266107], ["first", 0.1013858944566761]]</t>
  </si>
  <si>
    <t>We just casually sub in chiesa and belotti😂😂😂 love it. We’re winning the European Championship Italy ⭐️⭐️⭐️⭐️. Jorginho looks absolutely crazy in this Italy team and whenever I see him play international football. The pace suits him a lot man.</t>
  </si>
  <si>
    <t>[["curl", 0.6580706453335861], ["lorenzo", 0.5252097091720432], ["corner", 0.3437399148268636], ["uber", 0.24625142569133135], ["possess", 0.2000384071782756], ["leagu", 0.19208698390198845], ["insign", 0.188117303059762]]</t>
  </si>
  <si>
    <t>Immobile for Lazio: 177 games. 123 goals. 33 assists. All league #ITA. Insigne gave out his car to deliver the ball. Insigne's Uber had more ball possession than Turkey. Lorenzo Insigne curling the ball into the far corner first time. Clean 😎.</t>
  </si>
  <si>
    <t>[["bernardeschi", 0.8531695448691141], ["barella", 0.5216337102870446]]</t>
  </si>
  <si>
    <t>Barella is always on the ball. Incredible player. Bernardeschi is so bad I can’t take it. Bernardeschi is by far the worst player on #ITA. If Bernardeschi can play football at a professional level you can be anything you want.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</si>
  <si>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</si>
  <si>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</si>
  <si>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[["chiellini", 0.8203916317694427], ["first", 0.22412972983720922], ["time", 0.22383663741680396], ["eas", 0.17605552509686065], ["defend", 0.17401827104661513], ["three", 0.1716732250933414], ["tackl", 0.1639105417222844], ["delight", 0.16331498635070826], ["game", 0.1356315369538438], ["worst", 0.1327781530401134], ["nico", 0.12904864321935458], ["feet", 0.12816244193158008], ["spinazzola", 0.11501054583090528]]</t>
  </si>
  <si>
    <t>All those years of experience from chiellini there, what a tackle. Chiellini taking goal kicks is exactly the sort of thing the Euros is all about. Chiellini at 50 is more agile than our in prime defenders 😭😭. Chiellini wow 👏 what a player how old is he now.</t>
  </si>
  <si>
    <t>[["kebabi", 0.8023805150094374], ["cook", 0.4497346688144082], ["jorginho", 0.3923317942756926]]</t>
  </si>
  <si>
    <t>Weldone to Italy ⭐️⭐️⭐️⭐️ #ITA. This also goes to Our Chelsea player JORGINHOOO. Turkey vs Italia. 0-3. Euro 2020. Burak Yilmaz vs Italie | 11/06/21 | Euro 2021 | Skills and Highlight | The best Kebabier in the world 🔥🔥🔥. Jorginho was cooking tonight, star player.</t>
  </si>
  <si>
    <t>[["versu", 0.957039494288489], ["vivo", 0.28995759409271077]]</t>
  </si>
  <si>
    <t>🕹️ EN VIVO. ARSENAL versus,. SOUTHAMPTON[]][ARSENAL Versus,. SOUTHAMPTON.. ➡️ ver en vivo.. Arsenal vs Southampton'\|| Arsenal vs Southampton.</t>
  </si>
  <si>
    <t>[["onlin", 0.7494461583921549], ["direct", 0.4857664416608313], ["vivo", 0.4498459956778713]]</t>
  </si>
  <si>
    <t>💠 𝐋𝐢𝐯𝐞 Stream Online 🆓. PL Live Streaming Online FreeARSENAL versus, SOUTHAMPTON. ARSENAL Versus, SOUTHAMPTON.. ➡️ ver en vivo.. 📹 EN DIRECT.</t>
  </si>
  <si>
    <t>That ball from Xhaka was 👌 shame it was offside. Saka to Nketiah goal but it was offside my heart is on fire 😭😭😭😭😭. Saka with the most offside run I've seen since 1987. Even though it was offside, that’s the importance of Xhaka in the midfield.</t>
  </si>
  <si>
    <t>[["foul", 0.447213595499958], ["miss", 0.447213595499958], ["bar", 0.447213595499958], ["aubameyang", 0.3835227716975346], ["crossbar", 0.3760482901127803], ["hit", 0.24204892791180507], ["score", 0.23002235454285908]]</t>
  </si>
  <si>
    <t>Xhaka will do that exact same foul and be booked. @ltarsenal About the same time Saka hit the crossbar against Brighton. Arsenal should be in front. Aubameyang played through on goal but he hits the bar.. How did Aubameyang miss that. I had already counted it as 1-0.</t>
  </si>
  <si>
    <t>[["mustafi", 0.7501324351888052], ["yellow", 0.3604061722468584], ["unlucki", 0.27398450182849704], ["ref", 0.27398450182849704], ["red", 0.23472846481496387], ["foul", 0.2297979893770453], ["book", 0.2221916696987967]]</t>
  </si>
  <si>
    <t>Refs are banter. How has mustafi got booked but not their player 🤨. How is that a yellow for Mustafi but the professional foul on Pepe wasn't? Mustafi has one yellow card season nah I don’t believe that. Mustafi wins the ball, doesn't touch the player, Mustafi get yellow carded.</t>
  </si>
  <si>
    <t>[["ceballo", 0.408248290463863], ["spin", 0.408248290463863], ["dani", 0.408248290463863], ["score", 0.408248290463863], ["injur", 0.3539542613652852], ["saka", 0.20342823680114341], ["versu", 0.19188917296379943], ["vivo", 0.18724154806858762], ["onlin", 0.17515853792712394], ["southampton", 0.1542752992577862], ["stream", 0.12057754593157857], ["ver", 0.11497675379430207], ["direct", 0.11200819066929814]]</t>
  </si>
  <si>
    <t>@OsmanZtheGooner And just then Ceballos gets caught on the ball trying to spin. Arsenal players make Dani ceballos to look very like a championship player. #SOUARS. If Saka is injured here I'm never watching football again. Better be taking the piss if Saka goes off injured.</t>
  </si>
  <si>
    <t>[["injuri", 0.5773502691896257], ["ff", 0.5773502691896257], ["curs", 0.5773502691896257]]</t>
  </si>
  <si>
    <t>Another day, another injury for an Arsenal player. Cursed. Not saka now ffs, we will have no squad left at this rate. How did Auba miss that? Saka injury. We are actually a cursed club. Arsenal players are having injuries pon injuries right now.</t>
  </si>
  <si>
    <t>[["differ", 1.0]]</t>
  </si>
  <si>
    <t>Xhaka makes such a difference to our game. Xhaka proving the difference. Xhaka already making a difference. Xhaka makes an immense difference. Xhaka so good man what a difference he makes. Love the guy. Xhaka making a massive difference in there so far.</t>
  </si>
  <si>
    <t>[["error", 0.34287959296322673], ["keeper", 0.22948683199059694], ["terribl", 0.22948683199059694], ["goal", 0.22948683199059694], ["alex", 0.22948683199059694], ["gift", 0.22948683199059694], ["smh", 0.22948683199059694], ["fuck", 0.22948683199059694], ["howler", 0.22948683199059694], ["final", 0.22948683199059694], ["score", 0.22948683199059694], ["mistak", 0.22948683199059694], ["lead", 0.22948683199059694], ["press", 0.22948683199059694], ["call", 0.22948683199059694], ["btw", 0.2039357459676782], ["goalkeep", 0.19951513179727623], ["done", 0.16953682568695], ["well", 0.15466567425603261], ["lacazett", 0.10523505867194209]]</t>
  </si>
  <si>
    <t>Arsenal u have one job not to lose the lead. Teams always seem to have howlers like that against arsenal ffs. Mccarthy with an error of the season. Nketiah with a good press. If that was Lacazette, the keeper would of caught him up. Yo who the fuck is in goal for arsenal 😭😭😭.</t>
  </si>
  <si>
    <t>[["plant", 0.6528533338876606], ["tree", 0.5486520423299153], ["miss", 0.2932494941969412], ["var", 0.2571978828529817], ["lacazett", 0.19806012606347834], ["eddi", 0.17904933259629546], ["check", 0.1408705608092258], ["bellerin", 0.12156341282924638], ["that", 0.12127979554444378]]</t>
  </si>
  <si>
    <t>Var checking if nketiah coughed at the gk to get the ball😭😭. @iseekwisdm He really wants bellerin to start planting some trees. This is a clue in how to plant 3000 trees. He has been planting trees now, what do expect bro. So painful his done😟.</t>
  </si>
  <si>
    <r>
      <rPr>
        <u/>
      </rPr>
      <t>The Guardian</t>
    </r>
    <r>
      <rPr>
        <u/>
      </rPr>
      <t xml:space="preserve">, </t>
    </r>
    <r>
      <rPr>
        <u/>
      </rPr>
      <t>BeSoccer</t>
    </r>
    <r>
      <rPr>
        <u/>
      </rPr>
      <t xml:space="preserve">, </t>
    </r>
    <r>
      <rPr>
        <u/>
      </rPr>
      <t>BBC</t>
    </r>
  </si>
  <si>
    <t>[["bellerin", 0.6724965314565668], ["celebr", 0.3191497863093264], ["bottl", 0.3191497863093264], ["gift", 0.3191497863093264], ["aw", 0.2791400192279182], ["shit", 0.24980576542419783], ["assist", 0.2305733126717169], ["idiot", 0.22066384748045925]]</t>
  </si>
  <si>
    <t>Being an Arsenal fan means you don’t even celebrate when we’re 1-0 up. Southampton gifted Arsenal a goal just like that. Cédric will be our first choice RB. Bellerin is awful. Am only watching this game for arsenal to bottle it. I hope Arteta is seeing how shit Bellerin is.</t>
  </si>
  <si>
    <t>[["declin", 0.408248290463863], ["aw", 0.408248290463863], ["useless", 0.408248290463863], ["pass", 0.408248290463863], ["hector", 0.408248290463863], ["done", 0.3588852104379508], ["frog", 0.19459720551841048]]</t>
  </si>
  <si>
    <t>@CFCBenji @sfcdannnn Sad decline of arsenal football club. Hector Bellerin has to be one of the most useless and overrated RB in the premier league. Bellerin has been shakey. His positioning and passing are awful. Bellerin is a frog, really done out here.</t>
  </si>
  <si>
    <t>[["shit", 1.0]]</t>
  </si>
  <si>
    <t>Nah man, Bellerin???? What a shit show. Bellerin is looking mad shit uno. Bellerin is fucking dog shit loooool. Bellerin been so shit recently. Bellerin is shit. Bellerin is shit. Bellerin is shit. Bellerin is shit. Bellerin is shit. Bellerin is shit. Lmaooo bellerin is so shit🤣.</t>
  </si>
  <si>
    <t>[["plant", 0.7633476433472364], ["tree", 0.6459879065402234]]</t>
  </si>
  <si>
    <t>Be like Bellerin no won plant tree oo. Bellerin the only person in the way of stopping him planting trees absolute dogshit today. Bellerin needs to plant a tree every time he gives the ball way at this rate fuck me. Bellerin needs to plant a tree at right back.</t>
  </si>
  <si>
    <t>[["shit", 0.6324555839856192], ["plant", 0.48086022002155965], ["tree", 0.41082033813935176], ["mustafi", 0.3162277919928096], ["counter", 0.3162277919928096]]</t>
  </si>
  <si>
    <t>Bellerin went from I dont want to plant trees to nobody can stop me from planting trees. Bellerin’s finished. Should stick to planting trees as a full-time job. Who passed it to ceballos on a counter 😂😭. And all the Southampton players are fucking shit too.</t>
  </si>
  <si>
    <t>[["aw", 0.8944271909999159], ["umbrella", 0.4472135954999579]]</t>
  </si>
  <si>
    <t>Lol is that Lacazette with the umbrella? Our playing out from the right has been awful. Need to find a way to get Pepe the ball. I love bellerin but fuck me he’s awful 😂😂. @FootyKB Ceballos and Bellerin have been awful. We aren’t even good. Southampton are awful.</t>
  </si>
  <si>
    <t>[["half", 0.5], ["gift", 0.5], ["bore", 0.5], ["loan", 0.5]]</t>
  </si>
  <si>
    <t>I've never been so bored watching an Arsenal team before. Not a bad first half from @Arsenal but should be 2 or 3 up. Eddie Nketiah was on Loan at Leeds for half a season, came back and has now scored more away goals than Lacazette who's been here all season.</t>
  </si>
  <si>
    <t>Arsenal Second Half Under 1.5 -128 [2]. Don’t choke in the second half. Arsenal actually playing well today to be fair. Hopefully Saints kick on in the second half. #SOUARS. @charles_watts Yes Charles!!!. Hopefully Arteta brings u on in the second half.</t>
  </si>
  <si>
    <t>Saka (disallowed)</t>
  </si>
  <si>
    <t>[["shane", 0.8557319954295753], ["long", 0.517419319312796]]</t>
  </si>
  <si>
    <t>Shane long coming on so you know what that means.. Fans of every other football club: lmao does shane long even score goals. arsenal fans: oh no, not shane long. Please, I'm still having nightmares. Shane long is the one face I do not want to see.</t>
  </si>
  <si>
    <t>Mustafi</t>
  </si>
  <si>
    <t>[["second", 0.7071067811865475], ["underway", 0.7071067811865475]]</t>
  </si>
  <si>
    <t>Back underway.. @Arsenal Laca ozil on for second half. Second half is underway #SOUARS Premier League Is Back. Second half underway. #Arsenal 1 - #Southampton 0. The Gunners need to see this one out. They need the points. 46' Second half underway at St Mary's. #SOUARS.</t>
  </si>
  <si>
    <t>Nketiah</t>
  </si>
  <si>
    <t>[["red", 0.5773502691896257], ["tackl", 0.5773502691896257], ["walker", 0.34862153318448036], ["peter", 0.341005682847968], ["kyle", 0.22805665631470887], ["loane", 0.2085704813950947]]</t>
  </si>
  <si>
    <t>@Arsenal Kyle Walker-Peters is on the pitch now. We mustn't lose to a Tottenham loanee. Valery tackling Saka? Not the first time he put a child down. Wow I would not have complained had it been a red for Saka there. Bad tackle. Saka lucky not to get away with a red there 😳.</t>
  </si>
  <si>
    <t>[["distribut", 0.7071067811865475], ["touch", 0.7071067811865475]]</t>
  </si>
  <si>
    <t>That distribution from Martinez is beautiful @Arsenal #SOUARS. Martinez’s distribution is superior #Arsenal. Martinez distribution is actually better than Leno's. What a pass, Aubameyang should've done a lot better. That touch from Aubameyang. Pepe doesn't touch the ball enough.</t>
  </si>
  <si>
    <t>[["willock", 1.0]]</t>
  </si>
  <si>
    <t>What is Willock coming to do in this game 🤦🏼‍♂️🤦🏼‍♂️🤦🏼‍♂️🤦🏼‍♂️🤦🏼‍♂️🤦🏼‍♂️🤦🏼‍♂️🤦🏼‍♂️. Why the fuck is willock on. He is so shit. Arsenal gone 5-3-2 since Pepe off for Willock. Ceballos sitting and Xhaka and Willock playing either side of him in the three.</t>
  </si>
  <si>
    <t>Long for Obafemi</t>
  </si>
  <si>
    <t>@Arsenal @Joewillock A stupid sub. Aaaaand he has been subbed. Not sure about that one :)) Why sub Pepe? Bad Sub from Arteta Again. What in the fuck even is that sub. Game after game Arteta is making questionable subs. @Arsenal @Joewillock WTF IS THIS SUBS???</t>
  </si>
  <si>
    <t>Walker-Peters for Valery</t>
  </si>
  <si>
    <t>[["pass", 0.7071067811865475], ["poor", 0.7071067811865475]]</t>
  </si>
  <si>
    <t>Bellerin is so so poor. We are not average. We are poor. Bellerin passing has been poor #SOUARS. @MoAmali Hector wasn’t passing to him , he’d rather pass the ball back to mustafi. Nketiah can't give final pass. As much as I like Ceballos, he has been really poor today.</t>
  </si>
  <si>
    <t>Saka</t>
  </si>
  <si>
    <t>[["cramp", 0.7071067811865475], ["kolasinac", 0.7071067811865475]]</t>
  </si>
  <si>
    <t>Kolasinac worries me even before he has come on. Tierney down for Arsenal going off injured maybe cramp. Kolasinac on #SOUARS. 🔄Looks like cramp for Tierney. Kolasinac coming on to replace him. Kolasinac on for Tierney, who I think (hope) only has cramp.</t>
  </si>
  <si>
    <t>Willock for Pepe</t>
  </si>
  <si>
    <t>[["chill", 0.5773502691896257], ["ff", 0.5773502691896257], ["umbrella", 0.5773502691896257]]</t>
  </si>
  <si>
    <t>Lmao Ozil chilling in the sun with a likkle umbrella ☂️☀️. Ozil in the stands with an umbrella, alone. 300k a week. sweet. As Arsenal fans, we are getting excited about Lacazette using an umbrella in the heat.. while on the subs bench.. I. Am. Done.</t>
  </si>
  <si>
    <t>Kolasinac for Tierney</t>
  </si>
  <si>
    <t>[["amn", 0.5000000000000001], ["conced", 0.5000000000000001], ["save", 0.4431370611512952], ["shane", 0.4016804902366939], ["long", 0.29774617338130355], ["great", 0.23158053682076415]]</t>
  </si>
  <si>
    <t>Won't be Arsenal if we were to concede then concede the way we scored. @Arsenal @kierantierney1 @seadk6 Great Save.. 😱😱😱. Thank you @emimartinezz1. Shane long ain’t the same man 😪. Great chance for Saints FC as Shane Long is denied.. Laca and AMN on for Nketiah and Ceballos.</t>
  </si>
  <si>
    <t>Lacazette for Nketiah</t>
  </si>
  <si>
    <t>[["pass", 0.6059411029215787], ["maitland", 0.5139180641501563], ["nile", 0.4856832541277862], ["xhaka", 0.3644658828891681]]</t>
  </si>
  <si>
    <t>Laca and Maitland Niles on for Nketiah and Ceballos. Xhaka’s been good but why does he have to ruin it with such a stupid pass every game ffs. Xhaka fam u HAD to pass that to auba. That was a bad pass by Xhaka, he is not feeling it on the ball today.</t>
  </si>
  <si>
    <t>Maitland-Niles for Ceballos</t>
  </si>
  <si>
    <t>[["stephen", 0.5], ["jack", 0.5], ["sent", 0.5], ["hell", 0.3806164820456717], ["bellerin", 0.24799013235500697], ["fuck", 0.20888271314238283]]</t>
  </si>
  <si>
    <t>Red card! Jack Stephens is sent off for Southampton.. @afc3mily getting bummed but stephens just got sent off. Stephens sent off. A few own him as bench fodder. Jack Stephens is sent off and #Saints are down to 10 men with less than five minutes of normal time remaining. #SOUARS.</t>
  </si>
  <si>
    <t>Stephens (red)</t>
  </si>
  <si>
    <t>[["thank", 0.6882472016116853], ["mccarthi", 0.22941573387056177], ["gift", 0.22941573387056177], ["lucki", 0.22941573387056177], ["alex", 0.22941573387056177], ["rebound", 0.22941573387056177], ["gol", 0.22941573387056177], ["gonna", 0.22941573387056177], ["keeper", 0.22941573387056177], ["free", 0.18536382222756242], ["goalscor", 0.13673903654405337], ["kick", 0.1351733418857323], ["opportun", 0.12170734470997918], ["deni", 0.10969377976565999], ["clear", 0.08419389382099897]]</t>
  </si>
  <si>
    <t>@sue_skyheart @Arsenal @Aubameyang7 no free kick only, red was for denying a clear goalscoring opportunity. McCarthy is so fucking shit, properly gifted the win to Arsenal. Thank you for not breaking my heart tonight @Arsenal. You don't know how much it means😭❤.</t>
  </si>
  <si>
    <t>Willock</t>
  </si>
  <si>
    <t>[["final", 0.4999999999999999], ["babi", 0.24999999999999994], ["wow", 0.24999999999999994], ["win", 0.24999999999999994], ["bad", 0.24999999999999994], ["happi", 0.24999999999999994], ["hate", 0.24999999999999994], ["gift", 0.24999999999999994], ["fuck", 0.24999999999999994], ["actual", 0.24999999999999994], ["lead", 0.19268843757699644], ["red", 0.18600556170394908], ["goal", 0.1728922990641488], ["card", 0.16703871112768554], ["doubl", 0.1592832885902847], ["joe", 0.12858940665595056], ["first", 0.12677940455840403]]</t>
  </si>
  <si>
    <t>@arsenal is winning 2-0 and all I can do is just.... Awww arsenal finally 😆 @bbellgam so happy for you lol. Arsenal win to top off the day🥺 wow what a day. @Arsenal You have to be really bad to lose to arsenal. Jack Stephens loves a red card against us fuck me 😂.</t>
  </si>
  <si>
    <t>Romeu for Højbjerg</t>
  </si>
  <si>
    <t>[["tree", 0.7163582149309895], ["vestergaard", 0.434469788972757], ["keeper", 0.434469788972757], ["plant", 0.3306099103790177]]</t>
  </si>
  <si>
    <t>Man’s finally gonna be able to plant his trees 😭. He's gonna plant 9000 trees by the end of the season btw. Bellerin, you can go and plant your tree now. 1 🌲 tree planted like that. 3000 trees to be planted but haters will tell you Arsenal is useless.</t>
  </si>
  <si>
    <t>Vestergaard for Ings</t>
  </si>
  <si>
    <t>[["ye", 0.5], ["rob", 0.5], ["motm", 0.5], ["mustafi", 0.4145182381437627], ["hold", 0.2795972643753706]]</t>
  </si>
  <si>
    <t>Rob holding man of the match you love to see it. Holding deserves more than motm after playing a full 90 alongside mustafi. Rob Holding was mental in the air today. Won almost every ball. Where are the people who didn’t want Rob Holding in the team hiding? I just want to talk.</t>
  </si>
  <si>
    <t>[["burnley", 0.44469880161364417], ["done", 0.3806637074573752], ["watford", 0.36820688366286963], ["first", 0.3583552425265312], ["well", 0.32731884865774274], ["arteta", 0.3262860990335411], ["away", 0.313770991432539], ["lad", 0.28511549672283476]]</t>
  </si>
  <si>
    <t>FT | Premier League. Burnley 1-0 Watford. Southampton 0-2 Arsenal. First away win for Arteta at Arsenal and an away goal to go with #SOUARS. Well done arsenal. You surprised me with it today lads. @Arsenal well done and @Joewillock top man scenes 🔥🔥🔥.</t>
  </si>
  <si>
    <t>[["vivo", 0.6534134088139422], ["onlin", 0.5347056108331874], ["direct", 0.3650796251008771], ["versu", 0.30754809098084557], ["southampton", 0.18419766775086885], ["ver", 0.15919511673111483]]</t>
  </si>
  <si>
    <t>🎥 ver en vivo. 2019–20 EPL Live Streaming Online Free;'][Southampton vs. Arsenal. Southampton v. Arsenal.. 📽️ en vivo.. Southampton Vs. Arsenal. Southampton VS. Arsenal. Southampton versus. Arsenal. #Southampton vs #Arsenal Live Stream.</t>
  </si>
  <si>
    <t>[["foul", 0.5773502691896256], ["crossbar", 0.48530481664972874], ["score", 0.4115845482351607], ["aubameyang", 0.40488454278644903], ["hit", 0.3127500092244707]]</t>
  </si>
  <si>
    <t>“ he needed fouling Pepe “ Smith wtf. Aubameyang hits the crossbar from 5 yards out 😶. Aubameyang has to score there. We look dangerous. If Aubameyang doesn't score tonight it will be the first time in 11 years without him scoring in 4 games. #SOUARS.</t>
  </si>
  <si>
    <t>[["mustafi", 0.7905384275333819], ["red", 0.3732476669473418], ["book", 0.351784166882523], ["yellow", 0.33463872107421083]]</t>
  </si>
  <si>
    <t>So mustafi gets booked for that but hjoberg didnt get book for stopping pepe in full flow. Mustafi red card don almost sure. He will find it hard to remember he's on a yellow. Mustafi booked but Hojberg got away with one. Makes sense. Mustafi on a yellow, 80 minutes to play 🤦🏾‍♂️.</t>
  </si>
  <si>
    <t>[["versu", 0.46685285690173267], ["vivo", 0.45538962949061396], ["onlin", 0.42493097722898054], ["southampton", 0.4001433030704994], ["stream", 0.28094487952105246], ["ver", 0.2796123532746781], ["direct", 0.2772626976736031]]</t>
  </si>
  <si>
    <t>[["injur", 0.7071067811865476], ["ff", 0.5862961637613292], ["saka", 0.3952933193955453]]</t>
  </si>
  <si>
    <t>If Saka is injured here I'm never watching football again. Arsenal players going down injured. Saka better not be Injured Ffs. No way Saka is going to be out injured... Arsenal football club are actually cursed ffs 😭. Saka now... FFS!! 15 minutes in and Saka gets injured ffs.</t>
  </si>
  <si>
    <t>[["gift", 0.6666666666666666], ["keeper", 0.3333333333333333], ["lead", 0.3333333333333333], ["final", 0.3333333333333333], ["goalkeep", 0.3333333333333333], ["ff", 0.28451380364501627], ["mccarthi", 0.17367500294099963]]</t>
  </si>
  <si>
    <t>Eddie Nketiah at this rate will be our leading striker. Surely you can win today Arsenal with gifts like that? Southampton keeper needs to be subbed off for that 😂😂😂. As much as I wanna be gassed. We had a 1-0 lead before and we messed it up. Please don’t lose the lead arsenal 🙏🙏.</t>
  </si>
  <si>
    <t>[["goalkeep", 0.7071067811865475], ["var", 0.6178602542041802], ["check", 0.3438730961775663]]</t>
  </si>
  <si>
    <t>What is VAR checking on our goal? Before I send lightening bolts to their VAR room #SOUARS. VAR still checked Nketiah’s goal, lmao for what ????? Var checking if nketiah coughed at the gk to get the ball😭😭. My fpl goalkeeper ffs 😭. Southampton goalkeeper 🤣🤣 #SOUARS.</t>
  </si>
  <si>
    <t>[["pass", 1.0]]</t>
  </si>
  <si>
    <t>Bellerin gotta be racist, why does he never pass to Pépé. Why is Bellerin not passing to Pepe? Bellerin gotta get it together.. very shit passing today. Please Bellerin can you open up your shape and pass the ball yo Pepe.. Please stop passing back to Mustafi.</t>
  </si>
  <si>
    <t>I will take that 1-0 at half time. #SOUARS. HALF-TIME at Southampton. Not a great half, but better from Arsenal to be fair, and they go into the half-time break with a 1-0 lead. Arsenal can’t believe we’re winning a game at half time. First half over. 1-0. Arsenal fans rn:.</t>
  </si>
  <si>
    <r>
      <rPr>
        <u/>
      </rPr>
      <t>The Guardian</t>
    </r>
    <r>
      <rPr>
        <u/>
      </rPr>
      <t xml:space="preserve">, </t>
    </r>
    <r>
      <rPr>
        <u/>
      </rPr>
      <t>BeSoccer</t>
    </r>
    <r>
      <rPr>
        <u/>
      </rPr>
      <t xml:space="preserve">, </t>
    </r>
    <r>
      <rPr>
        <u/>
      </rPr>
      <t>BBC</t>
    </r>
  </si>
  <si>
    <t>[["shane", 0.8414954442246769], ["long", 0.5402642106868767]]</t>
  </si>
  <si>
    <t>Shane long to come on and score 100% #SOUARS. Shane Long always fucking scores against us. Put your house on shane long to score. Shane Long coming on for the second half. 👀. Shane long gonna get his goal?? 2 subs already. Shane long 😭😭😭. Shane Long is on now. FFS.</t>
  </si>
  <si>
    <t>[["tackl", 0.7071067811865475], ["red", 0.6188753245834294], ["saka", 0.3420428812616263]]</t>
  </si>
  <si>
    <t>How is that not a red for Saka? Wow I would not have complained had it been a red for Saka there. Bad tackle. I already know what our fans are gonna do with that saka tackle. On another day, Saka sees red for that tackle. #SOUARS. Premier League. Saka very lucky not to get a Red.</t>
  </si>
  <si>
    <t>[["touch", 1.0]]</t>
  </si>
  <si>
    <t>That touch from Aubameyang was absolutely outrageous. That touch from Aubameyang. Why did Aubameyang pass that there extra touch and finish. What a ping from the Arsenal GK cracking First touch from Aubameyang. Pepe doesn't touch the ball enough.</t>
  </si>
  <si>
    <t>[["willock", 0.78942342530354], ["sub", 0.613849049508123]]</t>
  </si>
  <si>
    <t>Willock for ceballos I’m all for that sub plz Mikel. #SOUARS willock is the worst sub to come on now. Arsenal fans clapping for willock sub. 🤣. Willock isn’t a bad sub tbh. But for who.</t>
  </si>
  <si>
    <t>[["save", 0.5773502691896257], ["conced", 0.5773502691896257], ["emiliano", 0.5773502691896257]]</t>
  </si>
  <si>
    <t>What a save from Martinez 🤗🤗😍. #SOUARS. Won't be Arsenal if we were to concede then concede the way we scored. Great double save Martinez 👏👏👏. Come on Arsenal ffs. Arsenal Emiliano Martínez Saving our lives. A good save from this man 🔥 #AFC #SOUARS.</t>
  </si>
  <si>
    <t>[["jack", 0.5], ["willock", 0.5], ["rebound", 0.5], ["free", 0.4037982020932223], ["kick", 0.29486778729844526]]</t>
  </si>
  <si>
    <t>Jack Stephens sees red against Arsenal for the second time in his career. 𝓞𝓶𝓮𝓻🦋 Nah free kick but willock just scored a rebound. Auba not even allowed to take free kicks over lacazette😂. Willock paying back all of that £45 with that goal.</t>
  </si>
  <si>
    <t>[["keeper", 0.6324555320336759], ["gol", 0.31622776601683794], ["gonna", 0.31622776601683794], ["ff", 0.31622776601683794], ["win", 0.31622776601683794], ["wow", 0.31622776601683794], ["final", 0.31622776601683794]]</t>
  </si>
  <si>
    <t>Arsenal are gonna win away. I repeat, Arsenal are gonna win away. 👀. ⚽️⚽️. #SOUARS #COYG. Arsenal is going to win a Premier League game!! Wow 😅. Arsenal should go on and win this now. 2-0 to the Arsenal. and finally 3 points. The Southampton keeper is definitely an Arsenal fan.</t>
  </si>
  <si>
    <t>[["fantasi", 1.0]]</t>
  </si>
  <si>
    <t>Fantasy Premier League McCarthy assist imo. Fantasy Premier League McCarthy stormer with 2 assists. Fantasy Premier League Who tf is willock? Fantasy Premier League McCarthy robbed of 2 assists. Fantasy Premier League Ings blank 😣.</t>
  </si>
  <si>
    <t>[["tree", 0.6325236812364194], ["plant", 0.5520177910611509], ["final", 0.5433140445700774]]</t>
  </si>
  <si>
    <t>Arsenal Bellerin is finally gonna be planting some trees 🌲 😁😁. Good result for the lads since we have a poor away record at Southampton. Bellerin will finally get to plant his trees now that Arsenal have won. A win for Arsenal is a win for 3000 trees going to be planted.</t>
  </si>
  <si>
    <t>[["clean", 0.5098059313257756], ["sheet", 0.4899978697760415], ["arteta", 0.42895744635455313], ["first", 0.4130805670380698], ["away", 0.3812610055493313]]</t>
  </si>
  <si>
    <t>First clean sheet for Arsenal after very many years of playing football🤣. 3 points, away win and a clean sheet... where the fuck did this come from?!❤️❤️❤️. Arteta's first away win and we keep a clean sheet. We move on to the next challenge!.</t>
  </si>
  <si>
    <t>[["offsid", 0.777947183964151], ["xhaka", 0.5590473217408851], ["pass", 0.28681748729216383]]</t>
  </si>
  <si>
    <t>That ball from Xhaka was 👌 shame it was offside. Saka to Nketiah goal but it was offside my heart is on fire 😭😭😭😭😭. Saka with the most offside run I've seen since 1987. Obvious offside lol but watch Xhaka get praise for that. See that pass from Xhaka there? that’s why he starts.</t>
  </si>
  <si>
    <t>[["book", 0.8062810607150394], ["mustafi", 0.3609506845795408], ["tierney", 0.357723251920242], ["score", 0.30275324848694674]]</t>
  </si>
  <si>
    <t>Can we just talk about that ball from Tierney for a second. So mustafi gets booked for that but hjoberg didnt get book for stopping pepe in full flow.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</si>
  <si>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</si>
  <si>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</si>
  <si>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[["injur", 0.8075900700641491], ["saka", 0.46562443914898555], ["knee", 0.3619283912612761]]</t>
  </si>
  <si>
    <t>I swear to jesus if saka is injured i may actually finally give up. Southampton I’m on my knees. If Saka is injured here I'm never watching football again. Saka down. Stop the league! Another Arsenal player injured?. Better be taking the piss if Saka goes off injured.</t>
  </si>
  <si>
    <t>[["take", 0.7085784690832054], ["pass", 0.7056320238989305]]</t>
  </si>
  <si>
    <t>Our midfield has been fluent in its passes and we actually do pass forward. Xhaka is back. Why isn’t Pepe taking it. Must Ceballos touch the ball before passing it every time? The man just blew a very good chance away by taking a touch.</t>
  </si>
  <si>
    <t>[["main", 0.46440109325774953], ["mccarthi", 0.4366321500036398], ["tap", 0.42553287924407895], ["event", 0.3718253871049278], ["clearanc", 0.22701767297606543], ["caught", 0.21070615523536756], ["lead", 0.14320072236609463], ["keeper", 0.14320072236609463], ["gol", 0.14320072236609463], ["alex", 0.14320072236609463], ["final", 0.1432003025931612], ["net", 0.1286606474097865], ["empti", 0.11734812428308998], ["striker", 0.11458799089080511], ["sweet", 0.10695133598243575], ["slander", 0.10405449974504363], ["sky", 0.10082132283921115]]</t>
  </si>
  <si>
    <t>Southampton GL error leading to a goal from Arsenal striker. Giroud memories are coming back. That is so embarrassing... what is the Southampton keeper doing? Wow. McCarthy gets caught on the ball, Nketiah blocks his clearance and taps into an empty net. 1-0 to the Arsenal.</t>
  </si>
  <si>
    <t>[["bellerin", 0.8643319952057635], ["howler", 0.32884078687162804], ["lead", 0.2923910545248791], ["atroci", 0.14802692933032527], ["leagu", 0.1417336065461997], ["spade", 0.13153335377592776]]</t>
  </si>
  <si>
    <t>Bellerin is bottom 3 right backs in the premier league. Atrocious. Bellerin why the fuck are you so shit at passing? Bellerin has been so wasteful on the ball so far. When there’s a defensive howler in the Arsenal game but it isn’t made by an Arsenal player.</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</si>
  <si>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</si>
  <si>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</si>
  <si>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</si>
  <si>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</si>
  <si>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</si>
  <si>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r>
      <rPr>
        <u/>
      </rPr>
      <t>The Guardian</t>
    </r>
    <r>
      <rPr>
        <u/>
      </rPr>
      <t xml:space="preserve">, </t>
    </r>
    <r>
      <rPr>
        <u/>
      </rPr>
      <t>BeSoccer</t>
    </r>
    <r>
      <rPr>
        <u/>
      </rPr>
      <t xml:space="preserve">, </t>
    </r>
    <r>
      <rPr>
        <u/>
      </rPr>
      <t>BBC</t>
    </r>
  </si>
  <si>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</si>
  <si>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</si>
  <si>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</si>
  <si>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</si>
  <si>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</si>
  <si>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[["break", 0.516953639424684], ["nketiah", 0.40642815603124516], ["ahead", 0.3919128599692347], ["leagu", 0.373556148729082], ["half", 0.3716318253130554], ["let", 0.36922214048257346]]</t>
  </si>
  <si>
    <t>Half-time in the 6pm kick-offs: - Southampton 0-1 Arsenal. - Burnley 0-0 Watford. How's everyones bets looking at the break? 🤔. If Leeds started Nketiah and kept him for the season they would have won the league by now. Bamford is half the player.</t>
  </si>
  <si>
    <t>[["take", 0.5895709353118017], ["cohes", 0.5711418879033333], ["flaw", 0.5711418879033333]]</t>
  </si>
  <si>
    <t>Take obafemi off. Take falery off. Djenepo and kwp on please. Or kiss this game goodbye. Southampton keeper on the take? Seems as such. 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</si>
  <si>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</si>
  <si>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</si>
  <si>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0.7820567270572533], ["shane", 0.49025273071517267], ["second", 0.38475906186965037]]</t>
  </si>
  <si>
    <t>We need to see that Long and Ings link up now #saintsfc. Sol Campbell “a second goal for Arsenal kills the game as a contest”. Ffs shane long hattrick incoming. Shane Long coming on second half. Shane long ffs. Second half kicks off.. How does it end?. #SOUARS #SWFLive.</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</si>
  <si>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</si>
  <si>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</si>
  <si>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</si>
  <si>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</si>
  <si>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</si>
  <si>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</si>
  <si>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0.969577985799197], ["lead", 0.24478261673078858]]</t>
  </si>
  <si>
    <t>Arsenal are leading Southampton 🙆‍♂️. #SOUARS willock is the worst sub to come on now. Why’s he bringing on Willock when we need a fucking goal. Willock isn’t a bad sub tbh. But for who. Pepe for willock this arteta dude is frauding a living. Willock on again ffs.</t>
  </si>
  <si>
    <t>[["tierney", 0.4535475675295463], ["footbal", 0.4106586739324992], ["equalis", 0.40466425668429007], ["chelsea", 0.3954685102053358], ["injur", 0.3938808867725065], ["confus", 0.3877671999350383]]</t>
  </si>
  <si>
    <t>Southampton equaliser please! 🥺🤞🏼 #SOUARS. Liverpool want Chelsea to win or draw. Man u want Chelsea to lose.. Arsenal are just confuse. Come on Chelsea 💙💙. Watching Arsenal play football is 2020 summed up. If Tierney is injured again, I’m done with football.</t>
  </si>
  <si>
    <t>[["sead", 0.84852121274823], ["willock", 0.3497578902117981], ["see", 0.28353866450270604], ["take", 0.2780053875069448]]</t>
  </si>
  <si>
    <t>Herh the Southampton keeper take bride 😂😂. Is this willock a footballer at all ? 🥴🥴🥴🥴. A second sub now as KT leaves the pitch... ↩️ Kieran Tierney. 🔛 Sead Kolašinac. #SOUARS 🔴⚪️ 0-1 🟡🟡 (70). Ozil taking some inspiration from niran... Happy to see arsenal winning cl.</t>
  </si>
  <si>
    <t>[["half", 0.7676311281126608], ["lead", 0.6242188961743337], ["six", 0.1452350536591637]]</t>
  </si>
  <si>
    <t>Oyo Redmond wanted to score right in the first half naye waaaa.😂. Southampton with six shots to Arsenal's one in the second half. Arsenal better find that second goal... This 1-0 lead odikwa risky. Arsenal are leading 0-1. at the end of this game the score will be 1-1.</t>
  </si>
  <si>
    <t>[["deni", 0.6077942473026063], ["coast", 0.35247394440849333], ["save", 0.35247394440849333], ["brilliant", 0.32381901378344446], ["cool", 0.3143467645765857], ["danger", 0.30705695390702453], ["south", 0.2900927006010049]]</t>
  </si>
  <si>
    <t>North London are saved #SOUARS. Mesut Ozil is trying his best to keep cool down on the south coast! ☀☂. Good save #SOUARS 1-0. Ings is so underrated. Brilliant save from Martinez tho. Brilliant save from Martinez to deny Long. Arsenal living dangerously now. 15 minutes to go.</t>
  </si>
  <si>
    <t>[["final", 0.8999610973152877], ["conced", 0.23852352974696334], ["want", 0.22516374277006626], ["man", 0.20537812396906846], ["hear", 0.2007427812222252]]</t>
  </si>
  <si>
    <t>Won't be Arsenal if we were to concede then concede the way we scored. Liverpool want Chelsea to win,Man United want man city to there is Arsenal 😂😂😂 #SOUARS. Looks like bellerin will finally be planting some trees. Things are finally turning around for my good. #Arsenal 🎵 🎶.</t>
  </si>
  <si>
    <t>[["penalti", 0.5830470104759525], ["wonder", 0.5750121369896835], ["pass", 0.5739488007563148]]</t>
  </si>
  <si>
    <t>What a pass by xhaka😷. Alan Smith on Martinez’s brilliant pass to Aubameyang: “Ederson at Man City would’ve been pleased with that.” #afc. Arsenal never hold ball since 2nd half... mini pep is doing wonders. Penalty fc fans wondering how arsenal is taking the lead.</t>
  </si>
  <si>
    <t>[["card", 0.742900272818706], ["red", 0.5096844439344046], ["sent", 0.33474565727811195], ["var", 0.27616353341926564]]</t>
  </si>
  <si>
    <t>Red card Southampton. It will go to VAR. Hasenhuttl screams 'he played for the ball' at the fourth official. A red card and it’s not a Arsenal player 😍. People that can still score this Arsenal team even if they have two player sent off 🙄.</t>
  </si>
  <si>
    <t>[["willock", 0.918635293903849], ["goal", 0.30483470789092143], ["gol", 0.2050641612070779], ["shot", 0.1453743011941364]]</t>
  </si>
  <si>
    <t>Willock scores after I slagged him off so much nahhh. Willock does score a lot of goals to be fair to him. Eddie Willock as our goal scorers 🤟👏 love it 💪. Willock! 2-0!. Willock gets a goal as he tends to do at times.. Reacted well to Lacazette’s shot to secure the deal.</t>
  </si>
  <si>
    <t>[["save", 1.0]]</t>
  </si>
  <si>
    <t>Willock saving me from ending it all! Mc Arthur is out there saving arsenal fan lives. Black Excellence saving Arsenal once again. Finally bellerin can save the planet 😂. 3000 trees. Arsenal saving the earth. Bellerin time to save the world. God save Arsenal.</t>
  </si>
  <si>
    <t>[["cross", 1.0]]</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</si>
  <si>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</si>
  <si>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</si>
  <si>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[["lad", 0.7071067811865475], ["boy", 0.7071067811865475]]</t>
  </si>
  <si>
    <t>It’s now or never lads, LET’S GO! #MUFC. Good luck lads! Let’s do this, with you all the way 💙🦊💙. Here we goooooooooo, come on boys #LEIMUN. Hope the lads will win over leicester city. Here we go!! Do us proud lads 👹⚽️♥️#MUFC #LEIMUN. All the best lads @ManUtd #LEIMUN.</t>
  </si>
  <si>
    <t>[["touch", 0.8164965809277261], ["dive", 0.4082482904638631], ["we", 0.30211427200167335], ["morgan", 0.2745790110688828]]</t>
  </si>
  <si>
    <t>Martial isn't it too early for a dive? Wes Morgan has never been fit since they won premier league. Greenwood is next level, see that touch from Vardy’s cross? Can’t believe greenwood made that touch under pressure. wow. Greenwoods touch in his own box there 😳😍 #LEIMUN.</t>
  </si>
  <si>
    <t>[["rashford", 1.0]]</t>
  </si>
  <si>
    <t>Get Rashford off already. Rashford has started. Come on Rashford. Rashford today is not the day…. Rashford really. What is Rashford doing ffs. Rashford will not kill me. Take Rashford off now! Rashford better than that man. Interesting plays from Rashford today.</t>
  </si>
  <si>
    <t>[["auba", 0.5], ["pogba", 0.5], ["shit", 0.5], ["brandon", 0.42304327655679697], ["william", 0.26652276855850304]]</t>
  </si>
  <si>
    <t>Auba for Golden Boot is the best thing that can happen today. 1-0 Arsenal. Vardy -23. Auba -21. Brandon Williams on the pitch almost guarantees this. Brandon Williams Bottled going in for that. Pogba what tf are you doing? Rashford.... cmon man don’t start your shit.</t>
  </si>
  <si>
    <t>[["alreadi", 0.3162277660168379], ["yellow", 0.3162277660168379], ["stupid", 0.3162277660168379], ["book", 0.3162277660168379], ["unnecessari", 0.3162277660168379], ["poor", 0.3162277660168379], ["card", 0.3162277660168379], ["tackl", 0.3162277660168379], ["fuck", 0.3162277660168379], ["wtf", 0.2728927335154924], ["wrong", 0.15977971083476905]]</t>
  </si>
  <si>
    <t>What the fuck is maguire going to ground there for????? Pogba has been so so poor these last few games man ffs. Maguire own goal then red card is gonna be unbelievably funny. Maguire with a stupid tackle smh get a yellow 10 mins in perfect 🤦🏽‍♂️.</t>
  </si>
  <si>
    <t>[["pass", 0.6666666666666666], ["sent", 0.3333333333333333], ["come", 0.3333333333333333], ["greenwood", 0.3333333333333333], ["ball", 0.3333333333333333], ["harri", 0.3333333333333333]]</t>
  </si>
  <si>
    <t>If fucking Harry Maguire gets himself sent off this game, i want him benched permanently. What a ball by Rashford... but headed over by Greenwood. That was a top top pass from Rashford. Great run by Greenwood. Good pass rashford... you take my note very quick... keep passing.</t>
  </si>
  <si>
    <t>[["ndidi", 0.5], ["sloppi", 0.5], ["ball", 0.5], ["cost", 0.38455072719736416], ["almost", 0.31956335555250764]]</t>
  </si>
  <si>
    <t>It's painful to watch wan-bissaka on the ball. Pass the ball, dickhead. @ManUtd United is being sloppy with the ball😔 Be focused!! #MUFC #LEIMUN. Ndidi are you okay at all 🤬🤬. @ChimpInATopHat A great pass. Ndidi should do better. Matic almost cost us a goal !</t>
  </si>
  <si>
    <t>[["contract", 0.5000000000000001], ["mistak", 0.5000000000000001], ["link", 0.40147098311196455], ["heart", 0.3514261001184986], ["live", 0.2980286055383153], ["attack", 0.2955934750059732], ["give", 0.19779836624551816]]</t>
  </si>
  <si>
    <t>English Premier League. Leicester City vs Manchester United - live stream online free. 🕹Link 1:. 🕹Link 2:. 🕹Link 3:. 🕹Link 4:. Matic do you wanna give me a heart attack? Every time I watch united play all I hear is mistake by matic EVERYGAME mistakes by matic ffs.</t>
  </si>
  <si>
    <t>[["fuck", 0.5404453181446095], ["kill", 0.3267654721087538], ["cost", 0.3267654721087538], ["harri", 0.3267654721087538], ["bad", 0.3267654721087538], ["fridg", 0.3267654721087538], ["away", 0.2526194052838953], ["give", 0.2072657951435012], ["swear", 0.19906220581408277], ["serious", 0.16624997364590147]]</t>
  </si>
  <si>
    <t>Ei matic go cost we o! what sort of sluggishness is this. @teddypizza1 says Maguire is a fridge.. I now ser. Ei Maguire 💔. This guy naa go cost us 💀. We need a new CB ei Maguire would kill me. Why the fuck is maguire the captain of this team? Who did this to us for God’s sake?? 😒.</t>
  </si>
  <si>
    <t>[["shit", 0.35355339059327373], ["ball", 0.35355339059327373], ["80m", 0.35355339059327373], ["calm", 0.35355339059327373], ["mad", 0.35355339059327373], ["touch", 0.35355339059327373], ["control", 0.35355339059327373], ["jone", 0.25160254477071176], ["phil", 0.2483871161411195]]</t>
  </si>
  <si>
    <t>We can't win this match, these guys are moving mad #LEIMUN. Maguire reminds me of phil jones with all these little mistakes #MUFC. He doesn’t know what to do with the ball🙆🏾‍♂️. Maguire for £80m was the biggest robbery ever, he’s so shit #LEIMUN.</t>
  </si>
  <si>
    <r>
      <rPr>
        <color rgb="FF000000"/>
        <u/>
      </rPr>
      <t>The Guardian</t>
    </r>
    <r>
      <rPr/>
      <t xml:space="preserve">, </t>
    </r>
    <r>
      <rPr>
        <color rgb="FF000000"/>
        <u/>
      </rPr>
      <t>BeSoccer (live)</t>
    </r>
    <r>
      <rPr/>
      <t xml:space="preserve">, </t>
    </r>
    <r>
      <rPr>
        <color rgb="FF000000"/>
        <u/>
      </rPr>
      <t>BeSoccer</t>
    </r>
    <r>
      <rPr/>
      <t xml:space="preserve">, </t>
    </r>
    <r>
      <rPr>
        <color rgb="FF000000"/>
        <u/>
      </rPr>
      <t>BBC</t>
    </r>
  </si>
  <si>
    <t>[["offsid", 0.4656405679596648], ["vardi", 0.3078192250376311], ["gea", 0.29663345761093124], ["iheanacho", 0.17016687774213488], ["smh", 0.17016687774213488], ["lmao", 0.17016687774213488], ["fumbl", 0.17016687774213488], ["ball", 0.17016687774213488], ["david", 0.17016687774213488], ["sell", 0.17016687774213488], ["jog", 0.17016687774213488], ["idiot", 0.17016687774213488], ["shit", 0.17016687774213488], ["degea", 0.17016687774213488], ["almost", 0.17016687774213488], ["mistak", 0.17016687774213488], ["wtf", 0.17016687774213488], ["nah", 0.17016687774213488], ["spill", 0.17016687774213488], ["mad", 0.17016687774213488], ["kill", 0.1428541409383138], ["net", 0.11513022638630932], ["matic", 0.11277057227375967], ["fuck", 0.11011994930238687], ["heart", 0.10455125537300784], ["jami", 0.10004297858693913], ["nervou", 0.09371663806728865], ["stiff", 0.08635251043785729], ["attack", 0.0849463058020314], ["gave", 0.07258697999448031]]</t>
  </si>
  <si>
    <t>@rantsnbants Matic been solid maguire on the other hand smh. David de gea you can’t say anything to vardy you fuckin fumbled it. Iheanacho should have given vardy but he was offside anyways. De gea getting mad at vardy when de gea couldnt keep hold of the ball 😂😂😂😂😂.</t>
  </si>
  <si>
    <t>[["rashford", 0.6228678853317458], ["pass", 0.22251405844317282], ["shaki", 0.22251405844317282], ["cost", 0.22251405844317282], ["wrong", 0.22251405844317282], ["done", 0.22251405844317282], ["piss", 0.22251405844317282], ["poor", 0.22251405844317282], ["saw", 0.22251405844317282], ["live", 0.22251405844317282], ["bro", 0.22251405844317282], ["jog", 0.22251405844317282], ["heart", 0.18945999172694933], ["play", 0.13373676743565388], ["attack", 0.11669369194466346]]</t>
  </si>
  <si>
    <t>Maguire was poor there if he decided to pass to the right we would have been finished. Sums up pogba , gives the ball away and jogs back. Rashford is just not with it the last few games. De Gea what is wrong with you man bro please what is wrong with you.</t>
  </si>
  <si>
    <t>[["yellow", 0.5], ["cost", 0.5], ["aw", 0.5], ["harri", 0.4301600765965646], ["maguir", 0.2548770458523829]]</t>
  </si>
  <si>
    <t>Maguire forgets he is on a yellow 😂. @ManUtd Who the hell made Harry Maguire captain ??🤧. Rashford and Maguire will cost as this game. Harry Maguire is nervous..I don't feel him today. This is has been awful so far. So fucking nervous #LEIMUN.</t>
  </si>
  <si>
    <t>[["tieleman", 0.4472135954999579], ["auba", 0.4472135954999579], ["iheanacho", 0.4472135954999579], ["aubameyang", 0.4472135954999579], ["run", 0.4472135954999579]]</t>
  </si>
  <si>
    <t>If rashford doesn’t start running in behind i’m gonna lose it. Rashford isn't running at all he needs to be brought off. Once vardy hears that auba is on 22 goals, goodbye maguire. Aubameyang back in the run for the golden boot. 2goals already, 1 behind Vardy.</t>
  </si>
  <si>
    <t>[["laca", 0.5461877856839013], ["boot", 0.49422066732047176], ["golden", 0.4911583469206211], ["auba", 0.4649605499536786]]</t>
  </si>
  <si>
    <t>Auba one behind Vardy in Golden Boot race. Auba going for the golden boot now! Just 1 off Vardy against a down and out Watford. Tierney with a goal and an assist though 😍😍😍. Laca telling Auba he needs two more goals to equal Vardy for the Golden Boot 😭😂😂. Vardy golden boot bet rn.</t>
  </si>
  <si>
    <t>[["far", 0.5773502691896257], ["lindelof", 0.5773502691896257], ["ff", 0.5773502691896257]]</t>
  </si>
  <si>
    <t>Lindelof is a far better player than maguire. Brandon Williams is having a good game so far 👍🏻 #mufc #MUNLEI. @SupremeNoodle2 same, but im just hoping Leicester get in ffs. Rashford you’re breaking my damn heart ffs. Rashford shoulda scored that one ffs.</t>
  </si>
  <si>
    <t>[["pogba", 0.39462090054375376], ["poor", 0.2901021556299533], ["chanc", 0.2901021556299533], ["miss", 0.2901021556299533], ["wast", 0.2901021556299533], ["far", 0.2901021556299533], ["idiot", 0.2901021556299533], ["marcu", 0.2901021556299533], ["shit", 0.2901021556299533], ["pass", 0.24535073402409616], ["done", 0.240458348062029], ["ball", 0.16322994779623973], ["rashford", 0.1622930791759949]]</t>
  </si>
  <si>
    <t>Rashford now has a doctorate and has forgotten where the post is. Idiot. Rashford has been poor the last couple of games to be fair. Rashford has literally been shit getting tired of these chances he misses. Rashford how can you waste such a god/good pass from Pogba #leimun.</t>
  </si>
  <si>
    <t>[["overr", 0.5773502691896257], ["aubameyang", 0.5773502691896257], ["restart", 0.5056727022817351], ["sinc", 0.278618828330788]]</t>
  </si>
  <si>
    <t>How many chances has Leicester missed since the restart. Ah Marcus the second most overrated player after Maguire in the PL # MUFC. Don't let Vardy find out Aubameyang needs one more goal to match him for the Golden boot.</t>
  </si>
  <si>
    <t>Maguire</t>
  </si>
  <si>
    <t>[["nice", 0.447213595499958], ["shot", 0.447213595499958], ["mount", 0.447213595499958], ["save", 0.39725668073919684], ["greenwood", 0.3585138565800088], ["good", 0.2673346491574351], ["schmeichel", 0.2053950574090716]]</t>
  </si>
  <si>
    <t>Pogba is too nice on the ball 😭. Lol how did the keeper save that shot from Rashford. Greenwood again this kids passing is so good. Mount 😪❤️ Chelsea please three more 😔❤️ Leicester please 1 goal. Man U Kwasia fo)😂😂😂. If Life Gives you Mason, make it Mount not Greenwood #CHEWOL.</t>
  </si>
  <si>
    <t>Bruno (disallowed)</t>
  </si>
  <si>
    <t>[["win", 0.7071067811865475], ["second", 0.5826121491340113], ["half", 0.40070323642497396]]</t>
  </si>
  <si>
    <t>Leicester to put this whole thing to sleep in the second half. Once vardy sees auba is one behind him, he’s gonna pop in the second half. Need a vardy and iheanacho masterclass the second half please. Leicester will win 1-0 in the dying minutes of the second half.</t>
  </si>
  <si>
    <t>[["giroud", 0.37796447300922725], ["wake", 0.37796447300922725], ["2nd", 0.37796447300922725], ["support", 0.37796447300922725], ["win", 0.37796447300922725], ["thing", 0.37796447300922725], ["fuck", 0.37796447300922725]]</t>
  </si>
  <si>
    <t>One more goal and i will start supporting Leicester 🙏🏽😍. All we need now is a vardy masterclass man wake up. If ole has any sense, he would push pogba forward in the 2nd half. #mufc. Leicester a come out mad 2nd half they have to win.</t>
  </si>
  <si>
    <t>[["lord", 0.5119488907676185], ["abeg", 0.29530456885135503], ["job", 0.29530456885135503], ["matic", 0.29530456885135503], ["hand", 0.29530456885135503], ["fuck", 0.29530456885135503], ["make", 0.29530456885135503], ["jami", 0.24446258039076693], ["work", 0.20067392996083752], ["king", 0.19289568044694483], ["power", 0.18918304123952276], ["vardi", 0.16565879141528375], ["stadium", 0.11918817792365095]]</t>
  </si>
  <si>
    <t>Now we just need Leicester to do the Lord’s work. 🙏🏾. @StretfordPaddck Our decline seems to go hand in hand with Matic. Hasn’t been at it last few weeks at all. Now we don't care what happens in the king power stadium. Jamie Vardy you know what you have to do. 😑.</t>
  </si>
  <si>
    <t>Ayoze for Iheanacho</t>
  </si>
  <si>
    <t>[["hope", 0.5], ["thing", 0.5], ["fuck", 0.5], ["find", 0.36199182696546234], ["auba", 0.3449085635501195]]</t>
  </si>
  <si>
    <t>Leicester hope all on you now. Leicester City , come on do your thing!!! Lets goooooo!!!! #LEIMUN. Leicester score 1st we are fucked. Vardy when he finds out Auba is catching up to him. Leicester must do the right thing. @Dr_Yazzy Only thing left is for Leicester to get the W.</t>
  </si>
  <si>
    <t>Lindelöf</t>
  </si>
  <si>
    <t>[["oya", 0.5773502691896256], ["thing", 0.5773502691896256], ["golden", 0.35143313249421654], ["boot", 0.346693473409332], ["aubameyang", 0.299385574492173]]</t>
  </si>
  <si>
    <t>@jared_leeper how are things in Leicester? I see it’s 0-0. Do your thing, vardy. Don't you want the golden boot? If Vardy scores in this match Aubameyang can kiss that golden boot goodbye. Vardy at half time after finding out Aubameyang scored 2 goals.</t>
  </si>
  <si>
    <t>Evans</t>
  </si>
  <si>
    <t>[["2nd", 0.8164965809277261], ["lingard", 0.4082482904638631], ["minut", 0.3431613305935649], ["90th", 0.2211491981715529]]</t>
  </si>
  <si>
    <t>Vardy go take do we last minute. I can feel it. Do you want to be in the Europa League? If you do, put Lingard in. After Leicester Man Utd hear scores. Them go come all out for the 2nd half. Maguire skinned less than a minute into the 2nd half.</t>
  </si>
  <si>
    <t>Bruno (penalty)</t>
  </si>
  <si>
    <t>[["wait", 1.0]]</t>
  </si>
  <si>
    <t>I’m honestly just waiting for Leicester to score. We are waiting.. I can't wait to see Leicester score 😂😂. @scottdunne12 Think were waiting for Leicester to commit which they will have to if they want to win. Who's waiting for this?🔥. #LEIMUN #CHEWOL.</t>
  </si>
  <si>
    <t>Gray for Choudhury</t>
  </si>
  <si>
    <t>[["slipper", 0.6241927062881248], ["foot", 0.5761679652896122], ["left", 0.4099152055901662], ["punish", 0.3322400719610847]]</t>
  </si>
  <si>
    <t>Iheanacho, get a goal and get your slippers from Maguire. Iheanacho needs to punish magwaya for stealing his slippers tbh. Martial do you not have a left foot or what. Martial needs to use his left foot an stop going across defenders every time.</t>
  </si>
  <si>
    <t>Barnes for Albrighton</t>
  </si>
  <si>
    <t>[["shoot", 0.3333333333333333], ["shot", 0.3333333333333333], ["better", 0.3333333333333333], ["touch", 0.3333333333333333], ["auba", 0.3333333333333333], ["lindelof", 0.3333333333333333], ["defend", 0.3333333333333333], ["pass", 0.2563139828402465], ["left", 0.23094563472954885], ["matic", 0.21310620195498992], ["use", 0.18239663890660782], ["leg", 0.1565461306645726]]</t>
  </si>
  <si>
    <t>Vardy would have seen that Auba is a goal behind him. 😩. Am i blind or did matic make a forward pass. Martial really doesn’t want to shoot with his left 🤷🏾‍♂️. No one ever come and try tell me Maguire is better than Lindelof again. Lindelof has saved us today multiple times.</t>
  </si>
  <si>
    <t>Praet for Tielemans</t>
  </si>
  <si>
    <t>[["far", 0.5], ["bulli", 0.5], ["brandon", 0.42002138286754875], ["bodi", 0.34539680440850135], ["iheanacho", 0.2823360355928275], ["william", 0.27126009277818963], ["pogba", 0.2258039204932481]]</t>
  </si>
  <si>
    <t>Lindelof has been class so far 👏. Brandon Williams is not Manchester United quality #LEIMUN. Pogba being bullied pit some strength in it man Lei Mun. Second time Iheanacho dey body Pogba 👀👀. #LEIMUN. Iheanacho bullying pogba. You love to see it.#LEIMUN.</t>
  </si>
  <si>
    <t>Lingard for Greenwood</t>
  </si>
  <si>
    <t>[["boot", 0.5058874090832268], ["golden", 0.46665772758494956], ["aubameyang", 0.41888835037231287], ["bring", 0.3752658911998411], ["ighalo", 0.2971626893698031], ["ing", 0.22273949344971875], ["race", 0.1599235069853042], ["emerick", 0.1557204215522224], ["pierr", 0.14924353175280433]]</t>
  </si>
  <si>
    <t>Vardy for the Golden boot. One more goal and Pierre Emerick will secure the boot as well. Back to back🔥. Aubameyang closing in Vardy for the Golden boot be like. Jamie Vardy to seal the golden boot ka goal 🔥🔥🔥. Vardy do you not want this golden boot??? Tear net abeg.</t>
  </si>
  <si>
    <t>Matic</t>
  </si>
  <si>
    <t>[["ayoz", 0.6391408253738221], ["perez", 0.5791083571722857], ["second", 0.35786346278551945], ["bring", 0.27404338180965415], ["ighalo", 0.23014448262596038]]</t>
  </si>
  <si>
    <t>Bit of this needed from Vardy in the second half. Ayoze Perez was the man I saw in my dream. Ahhhhhh, he scored ! Ahhhh. Gg ayoze perez ganti iheanacho 🤡 this doesn't look good. Leicester need a goal and they bring on Ayoze Perez 🤣🤣.</t>
  </si>
  <si>
    <t>Mctominay for Bruno</t>
  </si>
  <si>
    <t>[["remov", 0.5], ["iheanacho", 0.5], ["ighalo", 0.5], ["incom", 0.5]]</t>
  </si>
  <si>
    <t>Iheanacho comes off. United to score 2 in the next 10 minutes. Iheanacho thanks to you man utd is not losing yet. Iheanacho replaced, that is the way to go. Where is Ighalo in all this 🤦🏾‍♀️. Remove Rashford, bring in Ighalo and win this #LEIMUN.</t>
  </si>
  <si>
    <t>Hirst for Thomas</t>
  </si>
  <si>
    <t>[["gea", 0.5060969479966045], ["almost", 0.33252159588096974], ["ff", 0.33252159588096974], ["corner", 0.33252159588096974], ["tire", 0.33252159588096974], ["brandon", 0.2892453327894229], ["ball", 0.28362335740407624], ["boot", 0.2372967709258848], ["golden", 0.23293959353311988], ["william", 0.16403581678024762]]</t>
  </si>
  <si>
    <t>😂😂😂😂 De Gea is not looking at the ball ffs. Vardy to score the winner and win the golden boot. De Gea has let that go out for a corner.... Are you kidding me De Gea left that ball to roll out for a corner. Brandon Williams should just go and play in league 2 ah. What is this?🤮.</t>
  </si>
  <si>
    <t>Pogba</t>
  </si>
  <si>
    <t>[["fuck", 0.5773502691896256], ["yellow", 0.5773502691896256], ["mark", 0.4124395274584756], ["we", 0.2952959156327877], ["morgan", 0.27573046936049]]</t>
  </si>
  <si>
    <t>I did it again.. i fucking did it again. No way maguire just let williams mark wes morgan. United has no game plan. 2 cb on yellows. The pressure is too much. #LEIMUN. Maguire and Lindelof competing on nos of yellow cards. Unfortunate players.</t>
  </si>
  <si>
    <t>Williams</t>
  </si>
  <si>
    <t>[["sub", 0.5773502691896257], ["daniel", 0.5773502691896257], ["aubameyang", 0.37073168787675176], ["boot", 0.31449349479237143], ["golden", 0.3114244541950241]]</t>
  </si>
  <si>
    <t>So Ole no go sub Rashford! This coach will not make any sub now oooooo #LEIMUN. Please sub in lingard 🤣. Vardy, Aubameyang is closing on your golden boot oo. Ki lo sup?? Why’s Daniel James warring up ? Don’t bring Daniel James into this game ooo #LEIMUN.</t>
  </si>
  <si>
    <t>Evans (red)</t>
  </si>
  <si>
    <t>[["ndidi", 0.35355339059327373], ["tire", 0.35355339059327373], ["poor", 0.35355339059327373], ["lingard", 0.35355339059327373], ["terribl", 0.35355339059327373], ["trash", 0.35355339059327373], ["mata", 0.35355339059327373], ["mctominay", 0.303289005057059], ["bring", 0.1817024474559966]]</t>
  </si>
  <si>
    <t>@felixarun @iam_shuaiib @utdreport So what we bring on Lingard at CB? Mctominay for Bruno and push Pogba further up man, so simple. @GNev2 fernandes has played poor in all of last 3! He don tire but we need on for when we get our penalty 😈.</t>
  </si>
  <si>
    <t>Ighalo for Rashford</t>
  </si>
  <si>
    <t>[["evan", 0.2895060421349898], ["aw", 0.25278419456772167], ["pen", 0.25278419456772167], ["wtf", 0.25278419456772167], ["kill", 0.25278419456772167], ["foul", 0.25278419456772167], ["peno", 0.25278419456772167], ["choudhuri", 0.25278419456772167], ["miss", 0.25278419456772167], ["pleas", 0.25278419456772167], ["johnni", 0.21647601267720734], ["jonni", 0.19653587509774836], ["rodger", 0.18526349855577137], ["we", 0.18500355663950396], ["greenwood", 0.1723537634523355], ["morgan", 0.17226007388244563], ["brendan", 0.1719804789100422], ["boot", 0.16074536080036858], ["golden", 0.15896001455743491], ["great", 0.13327680368685796], ["tackl", 0.12818472157820868], ["auba", 0.1131038981481681]]</t>
  </si>
  <si>
    <t>Fernandes has been awful but that matters not if he scores the pen. Two fouls on martial just give us two penalties ref 😂. If you want your team to absolutely bottle it, brendan rodgers is your guy. Jonny evans, after all these years, finally coming through for united.</t>
  </si>
  <si>
    <t>Fosu-Mensah for Martial</t>
  </si>
  <si>
    <t>[["vardi", 0.4159279550314434], ["gol", 0.22535240090026915], ["varchest", 0.22535240090026915], ["lead", 0.22535240090026915], ["award", 0.22535240090026915], ["foul", 0.22535240090026915], ["thank", 0.22535240090026915], ["convert", 0.22535240090026915], ["anoth", 0.22535240090026915], ["rashford", 0.22535240090026915], ["actual", 0.22535240090026915], ["shit", 0.22535240090026915], ["fuck", 0.22535240090026915], ["surpris", 0.22535240090026915], ["score", 0.22535240090026915], ["evan", 0.22535240090026915], ["martial", 0.22535240090026915], ["jami", 0.12026912637543985]]</t>
  </si>
  <si>
    <t>Chelsea are winning and if Leicester score we are fucked. [70'] - Goal for United! Fernandes converts the penalty. 0-1 #mufc. Evans is doing the lord’s work for Manchester United,don’t be surprised. Martial is one on one with the keeper and gets fouled. How was that not a red.</t>
  </si>
  <si>
    <t>Lingard</t>
  </si>
  <si>
    <t>[["bingo", 0.3333333333333333], ["bring", 0.3333333333333333], ["fernandez", 0.3333333333333333], ["love", 0.3333333333333333], ["pen", 0.3333333333333333], ["penchest", 0.3333333333333333], ["foul", 0.3333333333333333], ["sub", 0.2414881466519378], ["ole", 0.22977072515384395], ["boot", 0.20444035067802407], ["golden", 0.2020637230362201], ["aubameyang", 0.16877649705601605]]</t>
  </si>
  <si>
    <t>Bruno fernandez would be no better than lingard without penalties. Score 1 more then let Vardy get his golden boot. So evans got the ball, morgan fouled martial, so how was it a pen?? Ole make a change, bring in ighalo , rashford is doing shitttt.</t>
  </si>
  <si>
    <t>[["barn", 0.46769881916400524], ["bottl", 0.3170104120139465], ["fuck", 0.3170104120139465], ["hold", 0.3170104120139465], ["penand", 0.3170104120139465], ["red", 0.3170104120139465], ["fred", 0.3170104120139465], ["champion", 0.2706855967991323], ["gray", 0.22976312282003952], ["leagu", 0.16499972427476875], ["praet", 0.15810601717775843]]</t>
  </si>
  <si>
    <t>Call him Penandes idc I fucking love this man. Leicester have 5 wins in 18 games in 2020 how have they bottled top 4 like this. Praet, gray, Barnes. Last chance, two goals to get champions league football. Let's do this. James and Fred on now and just manage the game #LEIMUN.</t>
  </si>
  <si>
    <t>[["ighalo", 0.5140017531005502], ["gea", 0.4035133969438226], ["love", 0.2570008765502751], ["johnni", 0.2570008765502751], ["foul", 0.2570008765502751], ["varchest", 0.2570008765502751], ["fuck", 0.2570008765502751], ["fred", 0.2570008765502751], ["save", 0.21114812789968102], ["jess", 0.20985250227285082], ["alway", 0.20675580937746998], ["red", 0.15264824216569622], ["lingard", 0.14836231946634182]]</t>
  </si>
  <si>
    <t>Take bruno off for fred drop fred into pogba’s position play pogba further forward. Martial was gonna score anyway. They had to foul him to be fair. Only 1-0 up and we’re bringing on jesse lingard???????? fucking hell. Jesse Lingard will score tonight. Y'all heard it here first.</t>
  </si>
  <si>
    <t>[["mad", 0.42371784353702935], ["lingard", 0.3404183855979995], ["greenwood", 0.3280381907958285], ["rashford", 0.31452153232882774], ["sub", 0.21185892176851467], ["ole", 0.21185892176851467], ["lingardinho", 0.21185892176851467], ["smh", 0.21185892176851467], ["fred", 0.21185892176851467], ["bottl", 0.21185892176851467], ["without", 0.21185892176851467], ["daniel", 0.18151759918635618], ["bring", 0.1683943793384833], ["bet", 0.16769213280120376], ["pitch", 0.15610608269919993], ["guy", 0.12947413382410042], ["take", 0.1288091486049233], ["he", 0.12163380869179197], ["jame", 0.10925000649216894], ["still", 0.09987733511748137]]</t>
  </si>
  <si>
    <t>That guy that bet on lingard not to score or assist must be sweating now. How rashford is still on the pitch is beyond me.. never seen a performance this bad. How you take off greenwood before bruno or rashford loool and brings on lingard nah i am done.</t>
  </si>
  <si>
    <t>[["pen", 0.5345224838248488], ["incom", 0.2672612419124244], ["substitut", 0.2672612419124244], ["brought", 0.2672612419124244], ["took", 0.2672612419124244], ["fuck", 0.2672612419124244], ["wtf", 0.2672612419124244], ["ff", 0.2672612419124244], ["bottler", 0.23650786284216474], ["we", 0.19595083365607244], ["bruno", 0.1889487499916738], ["morgan", 0.1817466429347779], ["fernand", 0.14331721459349994], ["rodger", 0.12446928232460903], ["fourth", 0.12323602276248646]]</t>
  </si>
  <si>
    <t>@tomiwale_ He brought him in to press. Lingard is good at that. Why did he substitute greenwood? Martial or Rashford should have been substituted. @carlo_george My point is United get pens for something similar to Leicester pen appeal in the first half.</t>
  </si>
  <si>
    <t>[["volley", 0.5773502691896257], ["laugh", 0.49446800019726106], ["brendan", 0.39067109639593206], ["rodger", 0.3543703135562611], ["iheanacho", 0.29805155613459683], ["bottl", 0.2348001461757871]]</t>
  </si>
  <si>
    <t>If Wes Morgan would’ve hit that volley I’d have bought new Leicester kits for all of FT. Poor Wes Morgan there, good player who got that attempted volley all wrong. United lucky. Brendan Rodgers is the definition of a bottle job. Iheanacho laughing on bench when he has fucked up.</t>
  </si>
  <si>
    <t>[["pogba", 0.45841168313203434], ["fuck", 0.4338020257185388], ["need", 0.30305680349492065], ["wtf", 0.30305680349492065], ["job", 0.263669700163989], ["ball", 0.260208161896388], ["maguir", 0.2408691052135139], ["brendan", 0.22973140316770968], ["kick", 0.22263604124183015], ["free", 0.20561278969150995], ["rodger", 0.1976535062758923], ["one", 0.1494045359418217], ["idiot", 0.1293490903095064]]</t>
  </si>
  <si>
    <t>@TheManUtdWay If pogba loses the ball one more time i am going to kill myself. Pogba, pogba, we talk we will be in big trouble. The Leicester bottle job has been fantastic to watch. Fuck Brendan Rodgers. Free kick to Leicester in a dangerous position. Maguire the fool... 😏.</t>
  </si>
  <si>
    <t>[["yellow", 0.5332756059560884], ["mctominay", 0.4086950534005955], ["freekick", 0.2666378029780442], ["sent", 0.2666378029780442], ["fuck", 0.2666378029780442], ["unnecessari", 0.2666378029780442], ["pleas", 0.2666378029780442], ["foul", 0.2666378029780442], ["ing", 0.2666378029780442], ["fred", 0.1947669499018539], ["energi", 0.11393546772305628]]</t>
  </si>
  <si>
    <t>Fucking Maguire!!! Don't give away freekicks ffs. Tielemens will finish you. Pogba hasn't had a very good game.. take him off for McTominay or fred ? Defenders trying not to foul whenever rashfords in the box. That’s a second yellow for Maguire. He should be sent-off by now.</t>
  </si>
  <si>
    <t>[["mctominay", 0.408248290463863], ["ride", 0.408248290463863], ["johnni", 0.408248290463863], ["demarai", 0.3179749747801463], ["bottl", 0.30713709810823087], ["boot", 0.2894324366520348], ["golden", 0.2879158406207143], ["rodger", 0.26894882344476173], ["gray", 0.2560441018266814]]</t>
  </si>
  <si>
    <t>Man are relying Demarai Gray free kicks to save their fuck Leicester. The golden boot is Jamie Vardy's to lose on the final day of the Premier L... #Arsenal. Mctominay comes on for bruno, we're all good boys. Johnny Evans is playing for Man United #leimun Citi Sports.</t>
  </si>
  <si>
    <t>[["motm", 0.5], ["spit", 0.5], ["foul", 0.5], ["brandon", 0.39638111378899304], ["william", 0.3047655043330812]]</t>
  </si>
  <si>
    <t>I voted for Victor Lindelof as MOTM on The United Stand's Match Ratings!. Lindelof motm easily today, he's been top class. Why is that a foul against Pogba? Fuck off. Pogba, why you dey spit on me? Brandon Williams has had a good game. They made Pogba spit saliva. 🤣🤣🤣. #leiman.</t>
  </si>
  <si>
    <t>[["evan", 0.6571754584353845], ["without", 0.23899521481266944], ["johnni", 0.23899521481266944], ["sent", 0.23899521481266944], ["card", 0.23899521481266944], ["realli", 0.23899521481266944], ["jonni", 0.1919657390699694], ["award", 0.1836648288288402], ["golden", 0.18189822385027893], ["red", 0.1815249632496867], ["agent", 0.16941738915885368], ["brendan", 0.16478149051126595], ["boot", 0.15502176899864048], ["histori", 0.15292463292297567], ["rodger", 0.12480143050757829], ["bottl", 0.11995989342901939], ["alway", 0.11254468532333248]]</t>
  </si>
  <si>
    <t>Vardy is really going to win you people’s golden boot? Evans has more done for united than the United players #leimun. Jonny evans once a red, always a red, getting red. Brendan Rodgers has like 5 branches of a thriving bottle company.</t>
  </si>
  <si>
    <t>[["mctominay", 0.43385261499475414], ["men", 0.28859515553635384], ["champion", 0.28859515553635384], ["rashford", 0.28859515553635384], ["lingard", 0.28859515553635384], ["foul", 0.28859515553635384], ["bottler", 0.2503701266945022], ["tackl", 0.24937408500231822], ["devil", 0.24569416322624377], ["kdb", 0.22570460691038097], ["boot", 0.1917051756881703], ["golden", 0.1900177673400636], ["life", 0.1513986193979593], ["rodger", 0.1435338408112566], ["pogba", 0.13593776388347173], ["better", 0.1177519365821392], ["vardi", 0.10212510714078814]]</t>
  </si>
  <si>
    <t>Leicester are down to 10 men and that should do it. Vardy is really going to win you people’s golden boot? Bredran Rodgers should be the number bottler of all managers. Jonny the Red is shown red for a shocking tackle on Mctominay #leimun #mufc.</t>
  </si>
  <si>
    <t>[["lingard", 0.5893604888566795], ["wtf", 0.44671162680588955], ["bet", 0.25761977053400775], ["3rd", 0.246600397243518], ["bottl", 0.246600397243518], ["spoil", 0.246600397243518], ["ighalo", 0.2195582172990686], ["finish", 0.193497803431248], ["haha", 0.19308268082555502], ["penchest", 0.15287366021634663], ["assist", 0.14744681148435612], ["guy", 0.12972187059090026], ["bring", 0.11227620022567489], ["hahahahahahaha", 0.08262543988665641]]</t>
  </si>
  <si>
    <t>I just remembered that guy that bet on lingard not to score or assist all through the pl season😂😭. Let me tell you guys something 😂😂😂😂 this is how betting is because how the fuck did lingard score the last goal of the prem like herh these betting companies are sus.</t>
  </si>
  <si>
    <t>[["seal", 0.23301682538707835], ["end", 0.23301682538707835], ["where", 0.23301682538707835], ["hahahaha", 0.23301682538707835], ["omg", 0.23301682538707835], ["write", 0.23301682538707835], ["bottler", 0.23301682538707835], ["2018", 0.23301682538707835], ["said", 0.23301682538707835], ["laugh", 0.23301682538707835], ["hahaha", 0.23301682538707835], ["knew", 0.23301682538707835], ["fuck", 0.23301682538707835], ["assist", 0.21290025461911505], ["bloke", 0.20818917266403977], ["3rd", 0.20616538567902157], ["brendan", 0.1721355543564183], ["whole", 0.16669850389316676], ["cut", 0.16526847729747696], ["ticket", 0.16426555124324005], ["rodger", 0.15705474153899568], ["bet", 0.12162608335716332], ["finish", 0.10859408207306899]]</t>
  </si>
  <si>
    <t>Heart pours out for the bloke that had money on Lingard to get no goals or assists this season🤣🤣🤣🤣 fucked away with the last kick of the game🤣🤣🤣🤣. Hahahaha who put that bet on lingard not to score or get an assist all season 😭😭😭😭.</t>
  </si>
  <si>
    <t>[["minut", 0.3807260035260833], ["jess", 0.32152628646159637], ["sorri", 0.32152628646159637], ["babi", 0.32152628646159637], ["lingardinho", 0.32152628646159637], ["98th", 0.2831355023898559], ["spoil", 0.2813917779616491], ["decemb", 0.22984659227439458], ["last", 0.2263358728195973], ["2018", 0.22483259751564666], ["ticket", 0.15555648550081894], ["tottenham", 0.1512584714964178], ["norwich", 0.14365267606204712], ["bournemouth", 0.14202189821351718], ["watford", 0.12274461413823878], ["liverpool", 0.11875182648177914], ["classement", 0.10259376287908578]]</t>
  </si>
  <si>
    <t>That boys bet fucked in the last game of the season in the 98th minute 🤮. I feel sorry for that guy who bet lingard won’t score or assist 🤣. Jesse lingard just needs to mock leicester differently and score. Whoever had the bet on jesse lingard to blank all season i am so sorry.</t>
  </si>
  <si>
    <t>[["dive", 0.7071067811865475], ["we", 0.5206709372968986], ["morgan", 0.4784368036160775]]</t>
  </si>
  <si>
    <t>How is Wes Morgan still playing in the Prem. Martial isn't it too early for a dive? Martial vs Wes Morgan. Lmao 😂 😂 😂. Wes Morgan has never been fit since they won premier league. We can eat from Wes Morgan, if we are serious. Martial should've got a yellow for that pathetic dive.</t>
  </si>
  <si>
    <t>Get Rashford off already. Come on Rashford. Rashford today is not the day…. Rashford really. What is Rashford doing ffs. Rashford will not kill me. Rashford don start. Take Rashford off now! Rashford better than that man. Interesting plays from Rashford today.</t>
  </si>
  <si>
    <t>[["pogba", 0.7071067811865475], ["brandon", 0.5982735391773742], ["william", 0.3769201139766605]]</t>
  </si>
  <si>
    <t>Brandon Williams on the pitch almost guarantees this. Brandon Williams is like paper wtf. Brandon Williams doing the work. Not even going to a foul on Brandon Williams ? #LEIMUN. Brandon williams is not a Manchester United quality left back. Pogba what tf are you doing?</t>
  </si>
  <si>
    <t>[["wtf", 0.35355339059327373], ["yellow", 0.35355339059327373], ["stupid", 0.35355339059327373], ["unnecessari", 0.35355339059327373], ["card", 0.35355339059327373], ["book", 0.35355339059327373], ["tackl", 0.35355339059327373], ["poor", 0.35355339059327373]]</t>
  </si>
  <si>
    <t>Pogba has been so so poor these last few games man ffs. Maguire getting booked in the first 10 minutes... stupid challenge what is he thinking. Maguire own goal then red card is gonna be unbelievably funny. Maguire with a stupid tackle smh get a yellow 10 mins in perfect 🤦🏽‍♂️.</t>
  </si>
  <si>
    <t>[["sent", 0.5], ["ball", 0.5], ["greenwood", 0.5], ["pass", 0.5]]</t>
  </si>
  <si>
    <t>Maguire is going to get sent off this match! What a ball by Rashford... but headed over by Greenwood. That was a top top pass from Rashford. Great run by Greenwood. That pass is the precision we need from Rashford. Good pass rashford... you take my note very quick... keep passing.</t>
  </si>
  <si>
    <t>[["ndidi", 0.5], ["ball", 0.5], ["pass", 0.5], ["cost", 0.3995374074462448], ["almost", 0.3006158013996161]]</t>
  </si>
  <si>
    <t>Up the Vardy, up the Ndidi, up the damn Leicester City. @ChimpInATopHat A great pass. Ndidi should do better. I can’t do this. Ndidi uaaaa😂😂 fuck Man U😂😂😭😭. Why the fuck are they passing the ball at the back. #LEIMUN. Matic is gonna cost us I can already see.</t>
  </si>
  <si>
    <t>[["link", 0.8029419662239291], ["live", 0.5960572110766306]]</t>
  </si>
  <si>
    <t>English Premier League. Leicester City vs Manchester United - live stream online free. 🕹Link 1:. 🕹Link 2:. 🕹Link 3:. 🕹Link 4:. 🖥WATCH|| ♠. Leicester vs Manchester United.. 🛑Live stream links ↓↓↓↓. Live 1 ••. Live 2 ••. Live 3 ••. Live 4 ••. #️⃣ #LEIMUN. RTWET 🔁 + LIKE💗.</t>
  </si>
  <si>
    <t>[["fuck", 0.7776088740627288], ["bad", 0.29375554645843643], ["harri", 0.29375554645843643], ["cost", 0.29375554645843643], ["away", 0.22709973292550917], ["gea", 0.22395346543091688], ["give", 0.1863277552600713]]</t>
  </si>
  <si>
    <t>No way Iheanacho just turned Matic like that, we’re fucked. Ei matic go cost we o! what sort of sluggishness is this. Why the fuck is maguire the captain of this team? Who did this to us for God’s sake?? 😒. De gea why tf will you drop that again? 🤦‍♂️.</t>
  </si>
  <si>
    <t>[["shit", 0.4472135954999579], ["ball", 0.4472135954999579], ["80m", 0.4472135954999579], ["mad", 0.4472135954999579], ["touch", 0.4472135954999579]]</t>
  </si>
  <si>
    <t>We can't win this match, these guys are moving mad #LEIMUN. He doesn’t know what to do with the ball🙆🏾‍♂️. Greenwood’s first touch is out of this World. Maguire for £80m was the biggest robbery ever, he’s so shit #LEIMUN. Harry Maguire. The man, the myth, the legend. £80m..</t>
  </si>
  <si>
    <r>
      <rPr>
        <color rgb="FF000000"/>
        <u/>
      </rPr>
      <t>The Guardian</t>
    </r>
    <r>
      <rPr/>
      <t xml:space="preserve">, </t>
    </r>
    <r>
      <rPr>
        <color rgb="FF000000"/>
        <u/>
      </rPr>
      <t>BeSoccer (live)</t>
    </r>
    <r>
      <rPr/>
      <t xml:space="preserve">, </t>
    </r>
    <r>
      <rPr>
        <color rgb="FF000000"/>
        <u/>
      </rPr>
      <t>BeSoccer</t>
    </r>
    <r>
      <rPr/>
      <t xml:space="preserve">, </t>
    </r>
    <r>
      <rPr>
        <color rgb="FF000000"/>
        <u/>
      </rPr>
      <t>BBC</t>
    </r>
  </si>
  <si>
    <t>[["offsid", 0.5140248590884873], ["vardi", 0.38774357673878873], ["iheanacho", 0.19387178836939437], ["fumbl", 0.19387178836939437], ["lmao", 0.19387178836939437], ["david", 0.19387178836939437], ["shit", 0.19387178836939437], ["kill", 0.19387178836939437], ["ball", 0.19387178836939437], ["wtf", 0.19387178836939437], ["spill", 0.19387178836939437], ["mad", 0.19387178836939437], ["degea", 0.19387178836939437], ["mistak", 0.19387178836939437], ["almost", 0.19387178836939437], ["pass", 0.19387178836939437], ["net", 0.14710305249607483], ["stiff", 0.12667529755663123], ["matic", 0.11384514060134614], ["nervou", 0.09262247716373119]]</t>
  </si>
  <si>
    <t>David de gea you can’t say anything to vardy you fuckin fumbled it. Iheanacho should have given vardy but he was offside anyways. Iheanacho gotta get subbed off for that wtf are you doing dog. If iheanacho had passed the ball we would be having a very different conversation.</t>
  </si>
  <si>
    <t>[["wrong", 0.35355339059327373], ["done", 0.35355339059327373], ["cost", 0.35355339059327373], ["poor", 0.35355339059327373], ["live", 0.35355339059327373], ["jog", 0.35355339059327373], ["bro", 0.35355339059327373], ["heart", 0.2922811631774034], ["attack", 0.19892642270865896]]</t>
  </si>
  <si>
    <t>Maguire was poor there if he decided to pass to the right we would have been finished. De Gea will give me a heart attack one day. Sums up pogba , gives the ball away and jogs back. De Gea what is wrong with you man bro please what is wrong with you.</t>
  </si>
  <si>
    <t>[["rashford", 0.7593288337586408], ["yellow", 0.422922070325837], ["harri", 0.422922070325837], ["play", 0.2563075634571829]]</t>
  </si>
  <si>
    <t>Why is rashford playing as lb ? 😭😭. When last did Rashford have a good game for us ?? Rashford has been lingarding for some games now. Ole and Rashford are the sh****** of them all. Maguire forgets he is on a yellow 😂. Harry Maguire is nervous..I don't feel him today.</t>
  </si>
  <si>
    <t>[["tieleman", 0.5773502691896257], ["auba", 0.5773502691896257], ["aubameyang", 0.5773502691896257]]</t>
  </si>
  <si>
    <t>Aubameyang for the golden vardy no see goal score o. Once vardy hears that auba is on 22 goals, goodbye maguire. Tierney's long throw, lovely touch by Auba, who then finishes with an overhead kick. 22 league goals for Auba, now just one behind Vardy.</t>
  </si>
  <si>
    <t>[["pogba", 0.45899655139373124], ["lindelof", 0.3353675478055946], ["ff", 0.3353675478055946], ["poor", 0.3353675478055946], ["chanc", 0.3353675478055946], ["wast", 0.3353675478055946], ["miss", 0.3353675478055946], ["pass", 0.2836334457539206], ["ball", 0.18451526097207557]]</t>
  </si>
  <si>
    <t>Rashford man you have to do better then that ffs. Pogba is the best passer of the ball on this man u team. Rashford can't miss chances like that one earlier in these games. Rashford how can you waste such a god/good pass from Pogba #leimun.</t>
  </si>
  <si>
    <t>[["marcu", 0.7071067811865475], ["shit", 0.7071067811865475]]</t>
  </si>
  <si>
    <t>This Marcus is high #LEIMUN. Rashford is soooo shit its unreal fucking sub him now. Marcus what is that mate 🙈 #LEIMUN. Leicester are playing shit. Marcus Rashford who has been turning up for the past couple of games #LEIMUN #MUFC. Marcus Rashford... what the absolute fuck?!</t>
  </si>
  <si>
    <t>[["aubameyang", 1.0]]</t>
  </si>
  <si>
    <t>Jamie Vardy coming out in the second half when he hears Aubameyang is one goal behind him. Golden Boot EPL (as now): Vardy (23) Aubameyang (22) Ings (21) UPDATE: Jamie Vardy: 23. Pierre-Emerick Aubameyang: 22. Danny Ings: 21.</t>
  </si>
  <si>
    <t>[["nice", 1.0]]</t>
  </si>
  <si>
    <t>Pogba that was NICE 🥺. Nice one there Leicester.. Nice shoot Martial. Nice one Martial. Keep it out like that. Kai.. Should've scored that!. Nice one Pogba. Nice ball, Martial... Nice footwork Pogba. Nice Martial. Nice play! #LEIMUN. Chelsea nice. Leicester just get the job done.</t>
  </si>
  <si>
    <t>[["mount", 0.7071067811865475], ["second", 0.5330685947333379], ["half", 0.46458354825480463]]</t>
  </si>
  <si>
    <t>Mount let’s gooo, leicester it’s up to you to stop these red goats. Good half, we still have barnes, gray perez on the bench. go all out second half now. Need a vardy and iheanacho masterclass the second half please. Leicester have nothing to lose the come in hard second half.</t>
  </si>
  <si>
    <t>[["2nd", 0.6324555320336759], ["win", 0.31622776601683794], ["giroud", 0.31622776601683794], ["fuck", 0.31622776601683794], ["abeg", 0.31622776601683794], ["job", 0.31622776601683794], ["lord", 0.2319942092541664], ["work", 0.2148922680613103]]</t>
  </si>
  <si>
    <t>Chelsea is leading by two goals... Leicester for do the lord's work 💔😂. Leicester a come out mad 2nd half they have to win. Leicester in the 2nd half is like when u were in pe and your playing 2 on 2 first goal wins. They need to go all out but need to defend incase they mess up.</t>
  </si>
  <si>
    <t>[["fuck", 0.7071067811865475], ["king", 0.46188870099834256], ["power", 0.4529987865284157], ["stadium", 0.2853960884347341]]</t>
  </si>
  <si>
    <t>I'm fucking nervous #LEIMUN. Vardy give me that goal please and let us have a fucking day. Ah to the king power stadium😂. FUCK MANCHESTER UNITED. @UnitedStandMUFC What the fuck is lingard gonna do. An even opening 10 at the King Power... #MUFC #LEIMUN. What fucking pressure???</t>
  </si>
  <si>
    <t>[["find", 0.5119337511627715], ["auba", 0.4877743683512015], ["golden", 0.4451385883472111], ["boot", 0.4391351556619698], ["aubameyang", 0.3301695810125299]]</t>
  </si>
  <si>
    <t>Vardy you just gonna let aubameyang try and take the golden boot away from you? I fear the rage vardy is coming back with in the second half when he finds out auba is only one goal behind him and Chelsea are already winning 2-0…… united please don't fuck up 🙏🏾.</t>
  </si>
  <si>
    <t>[["2nd", 1.0]]</t>
  </si>
  <si>
    <t>After Leicester Man Utd hear scores. Them go come all out for the 2nd half. Pls and pls, it's 2nd half of the game, let's get the f**king point and move on to the champions league @ManUtd #LEIMUN #MUFC. Maguire skinned less than a minute into the 2nd half.</t>
  </si>
  <si>
    <t>[["left", 0.5019343123856539], ["shoot", 0.3819668621815389], ["better", 0.3819668621815389], ["auba", 0.3819668621815389], ["foot", 0.30875214411341545], ["pass", 0.29371034327622525], ["matic", 0.24419852181651847], ["use", 0.20373618047067898], ["leg", 0.16622542857001568]]</t>
  </si>
  <si>
    <t>Martial shoot, not every goal should be a finesse 😂. Martial needs to be better in the box today man, he’s better than this. Am i blind or did matic make a forward pass. Martial do you not have a left foot or what. @_majesticmaya loooool don’t want auba or vardy to win it tbh.</t>
  </si>
  <si>
    <t>[["lindelof", 0.5], ["bulli", 0.5], ["brandon", 0.42002138286754875], ["bodi", 0.3561275739971696], ["iheanacho", 0.2743606384034143], ["william", 0.27126009277818963], ["pogba", 0.21885929528754638]]</t>
  </si>
  <si>
    <t>Lindelof has been top in this match.. Brandon Williams is not Manchester United quality #LEIMUN. Iheanacho has bodied Pogba on every encounter, again I ask, how? Pogba yane?? Na Iheanacho dey body you like that?... haba. Iheanacho bullying pogba. You love to see it.#LEIMUN.</t>
  </si>
  <si>
    <t>[["boot", 0.5897061341710066], ["golden", 0.5895681437981902], ["aubameyang", 0.5519565917166345]]</t>
  </si>
  <si>
    <t>Aubameyang closing in Vardy for the Golden boot be like. Someone tell Vardy that Aubameyang is coming for his golden boot. @copo2496 Just don’t let vardy score so my man @Aubameyang7 can win golden boot 😂. The race to the golden boot is heatin up btw Aubameyang and Vardy 🔥🔥.</t>
  </si>
  <si>
    <t>[["ayoz", 0.7528743306157175], ["perez", 0.6581642973452262]]</t>
  </si>
  <si>
    <t>Ayoze Perez on, man Rodgers is going for it. Ayoze Perez will come on now and score. God. Gg ayoze perez ganti iheanacho 🤡 this doesn't look good. I had a bad dream about Ayoze Perez and Vardy the other day. Leicester need a goal and they bring on Ayoze Perez 🤣🤣.</t>
  </si>
  <si>
    <t>[["ighalo", 0.7071067811865475], ["almost", 0.7071067811865475]]</t>
  </si>
  <si>
    <t>Why will Ighalo come on? 🤷🏾‍♂️. Where is Ighalo in all this 🤦🏾‍♀️. Nope. Ighalo will come and almost score. Vardy almost breaking red hearts 😅. Dream almost come true for Vardy 😂. #LIEMUN. Oh boy. Vardy almost broke twitter. Did you see that near post? Vardy almost scored!</t>
  </si>
  <si>
    <t>[["gea", 0.47880583082152217], ["boot", 0.4025513794171866], ["golden", 0.39757152599386064], ["corner", 0.3260247294627049], ["ff", 0.3260247294627049], ["brandon", 0.2835940057402404], ["ball", 0.2456724215676925], ["aubameyang", 0.22092490368231177], ["william", 0.16083085565100497], ["pick", 0.1503167341645058]]</t>
  </si>
  <si>
    <t>Vardy to score the winner and win the golden boot. De gea why the fuck don’t you pick up the ball????!!!! 😡😡. Why did De gea let that ball roll out for a corner? Just gave away a silly corner fuck you de gea. Brandon Williams should just go and play in league 2 ah. What is this?🤮.</t>
  </si>
  <si>
    <t>[["yellow", 0.7071067811865475], ["mark", 0.4848814793872251], ["morgan", 0.3241604865554718], ["we", 0.3109500714781921], ["brandon", 0.2512369060291161]]</t>
  </si>
  <si>
    <t>No way maguire just let williams mark wes morgan. How can Brandon be marking Wes Morgan for a corner kick... How. United has no game plan. 2 cb on yellows. The pressure is too much. #LEIMUN. Both Lindelof and Maguire on a yellow.. lord help us 😶.</t>
  </si>
  <si>
    <t>[["daniel", 1.0]]</t>
  </si>
  <si>
    <t>We need Daniel James. WHAT A FREEKICK BY DANIEL JAMES!!!!!! Fresh Daniel James is better than fatigued Rashford. If this Ole puts in Daniel James, it shall never be well with him! Oh great... Daniel James is warming up.... 🤮. Daniel James. For what???? Better sit down.</t>
  </si>
  <si>
    <t>[["poor", 0.408248290463863], ["ndidi", 0.408248290463863], ["lingard", 0.408248290463863], ["mata", 0.408248290463863], ["tire", 0.408248290463863], ["jonni", 0.31740685037956257], ["evan", 0.25674804380713906]]</t>
  </si>
  <si>
    <t>Be lying to yourselves that we don't need a Ndidi or a Ndidi kind of dmf. It's no surprise we've been useless since Fernandes has been poor. He don tire but we need on for when we get our penalty 😈. Jonny evans, after all these years, finally coming through for united.</t>
  </si>
  <si>
    <t>[["pen", 0.35355339059327373], ["choudhuri", 0.35355339059327373], ["foul", 0.35355339059327373], ["johnni", 0.35355339059327373], ["kill", 0.35355339059327373], ["miss", 0.35355339059327373], ["pleas", 0.35355339059327373], ["we", 0.2587528655957491], ["morgan", 0.24092935592407203]]</t>
  </si>
  <si>
    <t>This Fernandes needs to be topped by a pen miss. @MusteeJr guy him and This fernandes don kill us today. Two fouls on martial just give us two penalties ref 😂. Wes morgan is a fucking idiot... quality from evans to get a touch but thats been given because of wes morgan.</t>
  </si>
  <si>
    <t>[["rodger", 0.32353748710331276], ["brendan", 0.3166225011413558], ["gol", 0.24474463115242376], ["thank", 0.24474463115242376], ["convert", 0.24474463115242376], ["varchest", 0.24474463115242376], ["anoth", 0.24474463115242376], ["award", 0.24474463115242376], ["rashford", 0.24474463115242376], ["foul", 0.24474463115242376], ["lead", 0.24474463115242376], ["fuck", 0.24474463115242376], ["surpris", 0.24474463115242376], ["evan", 0.24474463115242376], ["martial", 0.24474463115242376], ["bottl", 0.12796303371168735]]</t>
  </si>
  <si>
    <t>If you want your team to absolutely bottle it, brendan rodgers is your guy. Evans is doing the lord’s work for Manchester United,don’t be surprised. Martial is one on one with the keeper and gets fouled. How was that not a red.</t>
  </si>
  <si>
    <t>[["foul", 0.6030226891555273], ["score", 0.30151134457776363], ["fernandez", 0.30151134457776363], ["bring", 0.30151134457776363], ["love", 0.30151134457776363], ["pen", 0.30151134457776363], ["penchest", 0.30151134457776363], ["bottl", 0.30151134457776363]]</t>
  </si>
  <si>
    <t>Bruno fernandez would be no better than lingard without penalties. Leicester have 5 wins in 18 games in 2020 how have they bottled top 4 like this. Leicester need a goal and they bring on barnes 😹😹😹😹. So evans got the ball, morgan fouled martial, so how was it a pen??</t>
  </si>
  <si>
    <t>[["red", 0.4472135954999579], ["fuck", 0.4472135954999579], ["barn", 0.4472135954999579], ["vardi", 0.4472135954999579], ["champion", 0.38186215470192886], ["leagu", 0.23276875822670048]]</t>
  </si>
  <si>
    <t>And If De Gea don't fucks we are into the Champions league 🤞. Once a red. always a red. 🤩🤩. Vardy we are coming for youuuuuu. Lets go we in champions league. Fucking VAR For Manchester divided. Fucking Leicester city doing shit again😬. Barnes should be fucking scoring that.</t>
  </si>
  <si>
    <t>[["love", 0.408248290463863], ["johnni", 0.408248290463863], ["varchest", 0.408248290463863], ["fuck", 0.408248290463863], ["save", 0.3354107713824356], ["jess", 0.33326445989311565], ["lingard", 0.23579963197345444], ["gea", 0.2327365057469631]]</t>
  </si>
  <si>
    <t>Only 1-0 up and we’re bringing on jesse lingard???????? fucking hell. Loving the faith we have in our youth players with Jesse Lingard coming on 👏🏽👏🏽. I'd pay top dollar for Jesse Lingard to just score 2 own goals and call it a day for his career.</t>
  </si>
  <si>
    <t>[["greenwood", 0.4156320360920231], ["lingard", 0.40772485824386673], ["rashford", 0.3823651248754097], ["sub", 0.25407275145256936], ["ole", 0.25407275145256936], ["lingardinho", 0.25407275145256936], ["incom", 0.25407275145256936], ["bring", 0.20234622089200197], ["take", 0.19609069477531835], ["bet", 0.19466267289287603], ["we", 0.1862839391617564], ["pitch", 0.1835034604250584], ["morgan", 0.17277516326445225], ["guy", 0.16327708600070084], ["still", 0.12008542777640677]]</t>
  </si>
  <si>
    <t>😂😂😂 lingard into this game?🤣 I swear ole wants united to lose. How rashford is still on the pitch is beyond me.. never seen a performance this bad. How you take off greenwood before bruno or rashford loool and brings on lingard nah i am done.</t>
  </si>
  <si>
    <t>[["took", 0.3162277660168379], ["brought", 0.3162277660168379], ["fuck", 0.3162277660168379], ["substitut", 0.3162277660168379], ["wtf", 0.3162277660168379], ["without", 0.3162277660168379], ["ff", 0.3162277660168379], ["pen", 0.3162277660168379], ["laugh", 0.27124472963526647], ["bruno", 0.22356668005478053], ["fernand", 0.16953497766098832], ["iheanacho", 0.16256167028266894], ["fourth", 0.14586236978320202]]</t>
  </si>
  <si>
    <t>[["yellow", 0.6324555320336759], ["pen", 0.31622776601683794], ["maguir", 0.31622776601683794], ["wtf", 0.31622776601683794], ["ball", 0.27694390179306333], ["kick", 0.25240339697621583], ["brendan", 0.24492264268746028], ["rodger", 0.20003224514810267], ["free", 0.19050597154647614], ["pogba", 0.15265017281232945]]</t>
  </si>
  <si>
    <t>Brendan rodgers this is what you call karma my friend. 😉. Pogba and joking around in possession. Wtf is your problem?! Jamie Vardy should score this free kick and it is game on! One of those yellow card unless it's a second yellow tackles by Maguire...</t>
  </si>
  <si>
    <t>[["freekick", 0.5], ["mctominay", 0.5], ["ing", 0.44083637066612474], ["demarai", 0.3941191720441913], ["gray", 0.3076850308793087], ["aubameyang", 0.23593069808297332]]</t>
  </si>
  <si>
    <t>83.' Maguire concedes a freekick in a dangerous area. Man are relying Demarai Gray free kicks to save their fuck Leicester. Golden Boot race -. Vardy 23. Ings 22. Aubameyang 22. Mctominay comes on for bruno, we're all good boys.</t>
  </si>
  <si>
    <t>[["johnni", 0.7071067811865476], ["boot", 0.5015141017484634], ["golden", 0.49848129929560236]]</t>
  </si>
  <si>
    <t>So vardy wan win this golden boot. Johnny Evans Johnny Sins #LEIMUN. 1 goal away from tying Vardy for the golden boot come on Ingsy!!!!! Vardy's gonna hear the news that Aubameyang is closing in on his golden boot at half time... Auba hunting down Vardy for the Golden Boot like:.</t>
  </si>
  <si>
    <t>[["spit", 0.7071067811865476], ["brandon", 0.5791737538737899], ["william", 0.4056571986588463]]</t>
  </si>
  <si>
    <t>Pogba, why you dey spit on me? This Brandon Williams kid is ass. Brandon Williams has had a good game. Love you Brandon Williams. Just smash them all. Brandon Williams has been outstanding today #mufc. I never want to see Brandon Williams play football for my club ever again.</t>
  </si>
  <si>
    <t>[["evan", 0.5983458374937494], ["sent", 0.27758400312353093], ["johnni", 0.27758400312353093], ["card", 0.27758400312353093], ["men", 0.27758400312353093], ["champion", 0.27758400312353093], ["agent", 0.23000652697966595], ["jonni", 0.22295538739861118], ["award", 0.21331982926632598], ["brendan", 0.21014657457309208], ["rodger", 0.1813595764917868], ["histori", 0.1776162414642027]]</t>
  </si>
  <si>
    <t>Jonny evans completes his double agent performance w a red card. Leicester are down to 10 men and that should do it. Jonny Evans gets sent off. He shouldn’t even have been eligible for today, as he should have been sent off last Sunday too.</t>
  </si>
  <si>
    <t>[["mctominay", 0.5773502691896257], ["lingard", 0.5773502691896257], ["ighalo", 0.5773502691896257]]</t>
  </si>
  <si>
    <t>@OlukorodeOre It should have been lingard 😃😃. Hopefully McTominay isn't injured. Need him in Europa. @Tjkxy_ Mctominay??? He did us a favour. Ighalo is just coming in. Ole fuck you!!!! But... congrats!🙄♥️. They no do ighalo well o. This na FK. #LEIMUN.</t>
  </si>
  <si>
    <t>[["lingard", 0.5205058727040446], ["bet", 0.44862708856189754], ["assist", 0.31430942320893196], ["3rd", 0.28224899152364746], ["spoil", 0.28224899152364746], ["end", 0.28224899152364746], ["finish", 0.2307470145183585], ["wtf", 0.22900825006757308], ["whole", 0.19119358268490752], ["penchest", 0.16254325118866206], ["guy", 0.14614794164742118]]</t>
  </si>
  <si>
    <t>I just remembered that guy that bet on lingard not to score or assist all through the pl season😂😭. Someone bet on lingard not scoring in the whole season and lingard scored in the final minute of the season😭😭😂😂😂.</t>
  </si>
  <si>
    <t>[["where", 0.24253562503633297], ["seal", 0.24253562503633297], ["omg", 0.24253562503633297], ["haha", 0.24253562503633297], ["bloke", 0.24253562503633297], ["said", 0.24253562503633297], ["hahahaha", 0.24253562503633297], ["laugh", 0.24253562503633297], ["hahaha", 0.24253562503633297], ["bottler", 0.24253562503633297], ["knew", 0.24253562503633297], ["fuck", 0.24253562503633297], ["jess", 0.24253562503633297], ["98th", 0.21638102387804162], ["3rd", 0.2146239230635664], ["brendan", 0.17717363551260704], ["cut", 0.1720197388045325], ["ticket", 0.17097584295269647], ["rodger", 0.16562920120259766], ["finish", 0.11296061729899065], ["minut", 0.10955720842215302]]</t>
  </si>
  <si>
    <t>Haha imagine it being lingard that ensures united finish in a top 4 position. Wheres that lad who had a bet on jesse lingard not to get a goal or assist this season🤣🤣🤣. 98th minute goal in the last game of the season, my god hahaha.</t>
  </si>
  <si>
    <t>[["babi", 0.5773502691896257], ["lingardinho", 0.5773502691896257], ["norwich", 0.28299876893344006], ["bournemouth", 0.2798454744653498], ["tottenham", 0.2482243658376455], ["watford", 0.2419077272727416], ["liverpool", 0.23408728335172244]]</t>
  </si>
  <si>
    <t>Lingardinho really sealed the win. 2020 doing it's thing. #LEIMUN. The 19-20 Premier League season is over 🚨. 1⃣ Liverpool. 2⃣ Man City. 3⃣ Man United. 4⃣ Chelsea. 5⃣ Leicester. 6⃣ Tottenham. 7⃣ Wolves. 8⃣ Arsenal.... 1⃣8⃣ Bournemouth. 1⃣9⃣ Watford. 2⃣0⃣ Norwich.</t>
  </si>
  <si>
    <t>[["dive", 0.5773502691896257], ["touch", 0.5773502691896257], ["red", 0.48128299620190523], ["build", 0.31890439147219385]]</t>
  </si>
  <si>
    <t>Top 3, come on you reds Manchester United #LEIMUN. Martial isn't it too early for a dive? Can’t believe greenwood made that touch under pressure. wow. Greenwoods touch in his own box there 😳😍 #LEIMUN. The natural ability of Greenwood with that touch 😳🔥 #LEIMUN.</t>
  </si>
  <si>
    <t>[["yellow", 0.5], ["tackl", 0.5], ["card", 0.5], ["book", 0.5]]</t>
  </si>
  <si>
    <t>But maguire too how you fit tackle like that so early. Maguire you know better than that lad a yellow card 10 mins in come on man. Maguire getting booked in the first 10 minutes... stupid challenge what is he thinking. Maguire own goal then red card is gonna be unbelievably funny.</t>
  </si>
  <si>
    <t>Rashford’s passing has improved since the restart. That new Rashford signature pass 👌🏾. Rashford what a pass. That was a top top pass from Rashford. Great run by Greenwood. That rashford pass is getting clipped😭. Good pass rashford... you take my note very quick... keep passing.</t>
  </si>
  <si>
    <t>What is matic doing ffs. I hate you maguire ffs. Maguire ffs 💔😭 #MUFC #LEIMUN. Maguire should calm the F down ffs. Maguire has been sooo bad ffs. Maguire is going to let us concede ffs. There’s definitely a Maguire mistake coming ffs. Ffs close them down #LEIMUN.</t>
  </si>
  <si>
    <t>Greenwood’s first touch is crazy good. Greenwood’s touch wtf. Bruh Greenwood's touch. Martial one touch now. That Greenwood touch was orgasmic. That touch from greenwood tho 😍. Greenwood is something else! That touch 😍. That touch from Greenwood 😳 #LEIMUN.</t>
  </si>
  <si>
    <t>[["offsid", 0.8164965809277261], ["spill", 0.4082482904638631], ["fumbl", 0.4082482904638631]]</t>
  </si>
  <si>
    <t>Iheanacho should have given vardy but he was offside anyways. De Gea is finished. How can he have a go at Vardy there when he fumbled a weak as piss shot 😂😂. Ffs De Gea what if that wasn't offside how can you be spilling that 🤦‍♂️. What a pass that was pogba shame it was offside.</t>
  </si>
  <si>
    <t>[["yellow", 0.7071067811865475], ["card", 0.7071067811865475]]</t>
  </si>
  <si>
    <t>Should be yellow for Vardy, should be. That early yellow card to Maguire is very important to this game. Nice. To bet Maguire Red Card 🤔? Cos Red Card dey smell for him body today. Which other defenders do we have on the bench.. Maguire is opened for business and on a yellow card.</t>
  </si>
  <si>
    <t>[["boot", 0.531752497752124], ["aubameyang", 0.46863373827024074], ["net", 0.42890437633511097], ["offsid", 0.3198243697331841], ["golden", 0.29957904877347763], ["auba", 0.28717276429063116], ["laca", 0.1978871040776886]]</t>
  </si>
  <si>
    <t>Fernandes has the ball in the net, but he's way offside so it remains 0-0. 32 minutes played... 1 more goal for Aubameyang to be tied with Vardy for the golden boot. Ellie Aight I take it back don’t let vardy score aubameyang needs golden boot.</t>
  </si>
  <si>
    <t>[["ff", 0.7071067811865475], ["take", 0.7071067811865475]]</t>
  </si>
  <si>
    <t>Need a wolves and Leicester win ffssss come on lads. Ffs Maguire did well there, Vardy was gonna score that. That was a chance for Rashford. Should be taking that. Please take out Rashford at halftime 😡😡😡 #LEIMUN. Rashford ffs man what was that man 🤦‍♂️. #MUFC.</t>
  </si>
  <si>
    <t>Schmeichel is a beast. Excellent save! Greenwood will save the day. What a save! Leicester 💙. #LEIMUN EPLFinal Day. What a save ! (Leicester) What an incredible save by Schmeichel! Schmeichel with a save. Good save that from kasper #LEIMUN. Only Ighalo can save you 😭😂.</t>
  </si>
  <si>
    <r>
      <rPr>
        <color rgb="FF000000"/>
        <u/>
      </rPr>
      <t>The Guardian</t>
    </r>
    <r>
      <rPr/>
      <t xml:space="preserve">, </t>
    </r>
    <r>
      <rPr>
        <color rgb="FF000000"/>
        <u/>
      </rPr>
      <t>BeSoccer (live)</t>
    </r>
    <r>
      <rPr/>
      <t xml:space="preserve">, </t>
    </r>
    <r>
      <rPr>
        <color rgb="FF000000"/>
        <u/>
      </rPr>
      <t>BeSoccer</t>
    </r>
    <r>
      <rPr/>
      <t xml:space="preserve">, </t>
    </r>
    <r>
      <rPr>
        <color rgb="FF000000"/>
        <u/>
      </rPr>
      <t>BBC</t>
    </r>
  </si>
  <si>
    <t>[["2nd", 0.8164965809277261], ["second", 0.4082482904638631], ["win", 0.4082482904638631]]</t>
  </si>
  <si>
    <t>If ole has any sense, he would push pogba forward in the 2nd half. #mufc. Leicester in the 2nd half is like when u were in pe and your playing 2 on 2 first goal wins. They need to go all out but need to defend incase they mess up.</t>
  </si>
  <si>
    <t>[["auba", 0.7071067811865475], ["mount", 0.4720178652391203], ["giroud", 0.4403612022663209], ["olivi", 0.2885847300770852]]</t>
  </si>
  <si>
    <t>Chelsea FC Mason Mount Olivier Giroud Leicester please am on my knees 🙏🙏. Golden Boot race between Auba and Vardy. Come on Auba, score 2 more goals. Arsenal worst season ever and Auba still managed to put 20+ behind goal. Arsenal kalau lepaskan Auba memang bangang abadi lah.</t>
  </si>
  <si>
    <t>[["aubameyang", 0.6885522859068164], ["boot", 0.5133742237820852], ["golden", 0.5121939631903519]]</t>
  </si>
  <si>
    <t>Vardy you just gonna let aubameyang try and take the golden boot away from you? Aubameyang is now 1 goal off Vardy for the golden boot 😬. Vardy - 23 ⚽️. Aubameyang - 22 ⚽️. Ings - 21 ⚽️. Vardy no won win Golden boot?😂. Make e score na.</t>
  </si>
  <si>
    <t>After Leicester Man Utd hear scores. Them go come all out for the 2nd half. Pls and pls, it's 2nd half of the game, let's get the f**king point and move on to the champions league Manchester United #LEIMUN #MUFC. Maguire skinned less than a minute into the 2nd half.</t>
  </si>
  <si>
    <t>[["foot", 0.6068597377270691], ["pass", 0.5830305759408592], ["matic", 0.4000941733118216], ["left", 0.36293423471179015]]</t>
  </si>
  <si>
    <t>What a pass that is from Matic. Martial showed too much to Justin. #MUFC. Am i blind or did matic make a forward pass. Williams and AWB need to stop passing to Matic Maguire and Lindelof. Pass it forward, too safe. The Man Utd Way Martial doesn't have left foot?</t>
  </si>
  <si>
    <t>[["aubameyang", 0.6497411817516643], ["boot", 0.5412259408972149], ["golden", 0.5337704353332763]]</t>
  </si>
  <si>
    <t>Aubameyang level on goals with Vardy now? Back to back golden boots am hearing. Don't let Vardy find out Aubameyang needs one more goal to match him for the Golden boot. Vardy's gonna hear the news that Aubameyang is closing in on his golden boot at half time...</t>
  </si>
  <si>
    <t>[["ayoz", 0.8226071280938545], ["perez", 0.5686101589043067]]</t>
  </si>
  <si>
    <t>Fuck Ayoze Perez being subbed 😭😭😭. Ayoze Perez is scoring isn't he? Ayoze Perez on, Utd CL hopes off. Ayoze Perez???? Rodgers doesn’t want to win. #LEIMUN Very positive change from Leicester. Ayoze Perez has been involved in 12 premier league goals this season.</t>
  </si>
  <si>
    <t>[["corner", 0.7071067811865475], ["ball", 0.475287152994764], ["gea", 0.3827161228517133], ["pick", 0.3572540993571438]]</t>
  </si>
  <si>
    <t>De Gea has let that go out for a corner.... De gea why the fuck don’t you pick up the ball????!!!! 😡😡. De Gea actually let that ball go for a. Are you kidding me De Gea left that ball to roll out for a corner. De Gea just watching the ball go for a corner. You fucking idiot!</t>
  </si>
  <si>
    <t>[["yellow", 1.0]]</t>
  </si>
  <si>
    <t>[63'] - Lindelof receives a yellow card. 0-0 #mufc. United has no game plan. 2 cb on yellows. The pressure is too much. #LEIMUN. Both our CBs have yellow cards now... something has to change #LEIMUN. Both Lindelof and Maguire on a yellow.. lord help us 😶.</t>
  </si>
  <si>
    <t>[["pen", 0.5773502691896257], ["foul", 0.5773502691896257], ["jonni", 0.43847814236608934], ["evan", 0.37559320015212855]]</t>
  </si>
  <si>
    <t>Has to be a pen didnt get close to the ball and brought martial down. Two fouls on martial just give us two penalties ref 😂. Our only two goals vs Leicester this season been pens 😂😂😂. Jonny evans, after all these years, finally coming through for united.</t>
  </si>
  <si>
    <t>[["goal", 0.37796447300922725], ["gol", 0.37796447300922725], ["johnni", 0.37796447300922725], ["convert", 0.37796447300922725], ["award", 0.37796447300922725], ["foul", 0.37796447300922725], ["lead", 0.37796447300922725]]</t>
  </si>
  <si>
    <t>[70'] - Goal for United! Fernandes converts the penalty. 0-1 #mufc. Manchester United players get fouled in the box every game. Manchester United are awarded their 96th penalty of the season. Bruno Fernandes with the goal, Johnny Evans with the assist 😁.</t>
  </si>
  <si>
    <t>[["pen", 0.4472135954999579], ["foul", 0.4472135954999579], ["johnni", 0.4472135954999579], ["champion", 0.37242238083418355], ["red", 0.36766852467651445], ["alway", 0.2545974390330651], ["leagu", 0.24759153914016999]]</t>
  </si>
  <si>
    <t>Bruno came into Manchester United qualifies them for champions league 😅😅😅more to come. Yes it was a pen, yes bruno has been shit, but that was a fantastic pass to martial to win the pen, which he would’ve scored anyway if he wasn’t fouled #LEIMUN.</t>
  </si>
  <si>
    <t>[["johnni", 0.5], ["lingard", 0.5], ["fourth", 0.4134303942928069], ["save", 0.4091554602109102], ["gea", 0.2873879075041228], ["score", 0.28120332337099824]]</t>
  </si>
  <si>
    <t>Bruno Fernandes is the fourth player to score 10+ goals for Manchester United season. Lingard better score in his last game for the club. Ok Lingard 1 goal or assist is all I need from you for the whole season. If na to strengthen us, Lingard shouldn't be the one coming on ffs.</t>
  </si>
  <si>
    <t>[["bring", 0.6309062976493768], ["lingard", 0.41436791813453555], ["sub", 0.3781876480232496], ["jess", 0.3166002087915943], ["take", 0.26336403112121337], ["greenwood", 0.22472129096291218], ["ole", 0.20968782884471684], ["he", 0.15220258084836805]]</t>
  </si>
  <si>
    <t>You don’t bring Greenwood off ffs what are you doing. Ole taking the piss now we are 1-0 bringing on Lingard. Imagine the scenes if jesse lingard seals champions league ball for united next season now. You see ole don't have sense, sub Bruno is greenwood you're subbing.</t>
  </si>
  <si>
    <t>[["pen", 0.8944271909999159], ["without", 0.4472135954999579]]</t>
  </si>
  <si>
    <t>Has probably the best Pen routine now in football. What would Man United be without penalties 🙄🙄. #LEIMUN. It isn't a united game if there isn't a pen #LEIMUN. Bruno Fernandes after have scored 6 pens goals.. Bruno Fernandes is shit without pens hth.</t>
  </si>
  <si>
    <t>[["yellow", 0.8164965809277261], ["ball", 0.3468690033136977], ["kick", 0.3258814675538767], ["free", 0.24590228907352266], ["pogba", 0.2152871598745004]]</t>
  </si>
  <si>
    <t>Pogba what an idiot man! Just move the ball instead of hogging the ball. Jamie Vardy should score this free kick and it is game on! One of those yellow card unless it's a second yellow tackles by Maguire... Learnt how to get a tactical yellow from the goat himself.</t>
  </si>
  <si>
    <t>[["sent", 0.37796447300922725], ["card", 0.37796447300922725], ["johnni", 0.37796447300922725], ["straight", 0.37796447300922725], ["champion", 0.37796447300922725], ["tackl", 0.33147826559129034], ["award", 0.2800490730903296], ["histori", 0.2538299815198947], ["horribl", 0.18160204375979047]]</t>
  </si>
  <si>
    <t>Jonny Evans just finished a horror show of a match with a 94’ straight red card. This is after he was already yellow carded for the decisive foul on United’s pen. Champione champione liga champione 😂😂😂. A really happy day just known join the champions league. 😂.</t>
  </si>
  <si>
    <t>[["lingard", 0.5732132261763188], ["bet", 0.33572149667891127], ["assist", 0.29246940227668833], ["omg", 0.2778924214242164], ["messi", 0.2778924214242164], ["jess", 0.2778924214242164], ["lol", 0.2778924214242164], ["ticket", 0.2778924214242164], ["bloke", 0.24821426908660266], ["guy", 0.1595243239536121]]</t>
  </si>
  <si>
    <t>Where is that guy that bet lingard will not score or assist at all throughout the season??? 🤣🤣🤣🤣🤣🤣. ticket don cut oo 😂😂. Imagine being that guy that bet on jesse lingard to have no goals or assists for the whole season to be robbed by that 😂😂😂.</t>
  </si>
  <si>
    <t>[["where", 0.408248290463863], ["ff", 0.408248290463863], ["hahahaha", 0.408248290463863], ["lmao", 0.408248290463863], ["98th", 0.36403206973502467], ["jonni", 0.2888440411120199], ["evan", 0.2247891971639312], ["minut", 0.18478993173628472], ["red", 0.18084690602589726]]</t>
  </si>
  <si>
    <t>Jonny evans completes his double agent performance w a red card. Man who in the world thought lingard will get a goal today lmao. Hahahaha that guy who bet on Lingard to not score or assist all season and he’s just banged one in in the 98th minute of the last game 🙄😂.</t>
  </si>
  <si>
    <t>[["norwich", 0.46540583378004535], ["bournemouth", 0.46060171154638724], ["tottenham", 0.4468959262083428], ["watford", 0.3979905291663615], ["liverpool", 0.3858791231433009], ["listen", 0.25343311811691804]]</t>
  </si>
  <si>
    <t>𝗛𝗢𝗪 𝗜𝗧 𝗙𝗜𝗡𝗜𝗦𝗛𝗘𝗗: 𝗧𝗼𝗽 𝗙𝗼𝘂𝗿: 🥇 1. Liverpool. 🥈 2. Man City. 🥉 3. Man Utd. ☑️ 4. Chelsea. 𝗘𝘂𝗿𝗼𝗽𝗮 𝗟𝗲𝗮𝗴𝘂𝗲: ☑️ 5. Leicester. ☑️ 6. Tottenham. 𝗥𝗲𝗹𝗲𝗴𝗮𝘁𝗲𝗱: ☑️ 18. Bournemouth. ☑️ 19. Watford. ☑️ 20. Norwich. 📻 Listen →.</t>
  </si>
  <si>
    <t>[["dive", 1.0]]</t>
  </si>
  <si>
    <t>Martial what was that dive?😂😂😂. Manchester diving United. Easy o. Martial diving course he try and get the softest penalty VAR will ever give #LCFC. Hei dont dive ! #LEIMUN. That Martial dive, LOL, absolute cheats of a team, needs a yellow. Offside aside what a dive by Martial.</t>
  </si>
  <si>
    <t>[["maguir", 0.778896384796947], ["yellow", 0.39962187265217136], ["book", 0.39962187265217136], ["pogba", 0.2718917791074046]]</t>
  </si>
  <si>
    <t>Pogba stop this holding on to ball and losing possession. But maguire too how you fit tackle like that so early. 9th minute. Maguire goes into the book for a wild challenge. Maguire now at risk for the rest of the game with that yellow 🤦🏾‍♀️.</t>
  </si>
  <si>
    <t>[["rashford", 0.7224817607672793], ["maguir", 0.6913899806611402]]</t>
  </si>
  <si>
    <t>I here you harry maguire is there really anything more i need to say. Rashford’s touch has been horrendous Maguire on a yellow, not the best opening 10 minutes.... 👀. How tf is Rashford’s long range passing so good post lockdown. I can’t lie that was a good ball from rashford.</t>
  </si>
  <si>
    <t>[["matic", 0.9760247807661236], ["ndidi", 0.2176594296841751]]</t>
  </si>
  <si>
    <t>What was that by Matic? In the box all you do is get the ball out. Matic sometimes need to look where he is passing 😳😳😳😳. Matic has not been the same since he signed new contract ffs. Oof, Ndidi could've / should've scored there. What was Matic doing?! #LEIMUN.</t>
  </si>
  <si>
    <t>[["touch", 0.9111752859468956], ["maguir", 0.3205090093113115], ["greenwood", 0.25890842634003747]]</t>
  </si>
  <si>
    <t>It’s so funny to watch Maguire play football 🤣🤣. Greenwood’s first touch is out of this World. What a wonderful touch by greenwood, someone clip that up please #LEIMUN. Harry Maguire there, with the touch of Chris Grayling and a government contract.</t>
  </si>
  <si>
    <t>[["gea", 0.8162990458084084], ["offsid", 0.5638716839989049], ["k3k3", 0.08339296100566988], ["long", 0.06651947463618146], ["garbag", 0.06576750980046676]]</t>
  </si>
  <si>
    <t>De gea trying his best to give me a heart attack the dick head. De Gea needs the season to end more than any other player. Iheanacho should have given vardy but he was offside anyways. David de gea in goal is like putting a 5’”2 striker from pro clubs in goal.</t>
  </si>
  <si>
    <t>[["rashford", 0.818584683845471], ["maguir", 0.5743858593085401]]</t>
  </si>
  <si>
    <t>Literally don't understand it. Every time Rashford gets the ball he's almost at left back. Really need a player that can actually play ball to come and bench this useless Rashford. Can Rashford pass to a red shirt. Maguire could get a red in this game.</t>
  </si>
  <si>
    <t>[["offsid", 0.6964671488406461], ["pogba", 0.6200989745837954], ["half", 0.268574120142403], ["like", 0.24140984713892852]]</t>
  </si>
  <si>
    <t>I need Pogba to start playing like a kaffir so we can win this game. Maguire should better give Iheanacho his slippers at half time. Bruno scores off a lovely Pogba pass, but he’s offsides.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</si>
  <si>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</si>
  <si>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</si>
  <si>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[["aubameyang", 0.887741651236377], ["auba", 0.3309746715001611], ["goal", 0.3199539458820146]]</t>
  </si>
  <si>
    <t>22 goals for Aubameyang, one goal behind Jamie Vardy with 23 in the the race for the Golden Boot! Don’t let Vardy find out that Auba is one goal behind him. Aubameyang go do then Vardy just go start dey score is this la? United Nyame🙏🏻.</t>
  </si>
  <si>
    <r>
      <rPr>
        <color rgb="FF000000"/>
        <u/>
      </rPr>
      <t>The Guardian</t>
    </r>
    <r>
      <rPr/>
      <t xml:space="preserve">, </t>
    </r>
    <r>
      <rPr>
        <color rgb="FF000000"/>
        <u/>
      </rPr>
      <t>BeSoccer (live)</t>
    </r>
    <r>
      <rPr/>
      <t xml:space="preserve">, </t>
    </r>
    <r>
      <rPr>
        <color rgb="FF000000"/>
        <u/>
      </rPr>
      <t>BeSoccer</t>
    </r>
    <r>
      <rPr/>
      <t xml:space="preserve">, </t>
    </r>
    <r>
      <rPr>
        <color rgb="FF000000"/>
        <u/>
      </rPr>
      <t>BBC</t>
    </r>
  </si>
  <si>
    <t>[["rashford", 0.8790715264996319], ["pogba", 0.40860521004096184], ["footbal", 0.24550974242377469]]</t>
  </si>
  <si>
    <t>Rashford's run of miserable form in front of goal continues. What a pass from pogba, and rashford take it easy mate control the ball!! Rashford and pogba are 2 of da most overrated players i have ever seen playing football. Rashford come on man you have to score that 🤦🏾‍♂️.</t>
  </si>
  <si>
    <t>[["rashi", 0.6439579416345302], ["afraid", 0.5763545606737659], ["stat", 0.30339242546969486], ["aint", 0.29022745390285726], ["return", 0.2772267140176968]]</t>
  </si>
  <si>
    <t>Rashy ain’t really been at it since football returned tbh! Don’t need stats for this one I’m afraid! #LEIMUN.</t>
  </si>
  <si>
    <t>[["chevrolet", 0.7434360322385993], ["save", 0.44986582883193527], ["goalless", 0.35140978083975805], ["end", 0.34847491724489654]]</t>
  </si>
  <si>
    <t>Schmeichel is a beast. Excellent save! What a save ! (Leicester) 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</si>
  <si>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</si>
  <si>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</si>
  <si>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[["reaction", 0.9291472657693343], ["see", 0.2720891071501833], ["want", 0.25030556582622354]]</t>
  </si>
  <si>
    <t>One day an analyst will present a Utd manager with data that shows overplaying Matic leads to pain. Because apparently they can't see it. Come on Leicester!!! Need Leicester City to score, just want to see the Man Utd fans reaction!!! #LEIMUN.</t>
  </si>
  <si>
    <t>[["point", 1.0]]</t>
  </si>
  <si>
    <t>Battle for the top four as it stands: 3️⃣ Chelsea - 66 points. 4️⃣ Man Utd - 64 points. --------- 5️⃣ Leicester - 63 points.</t>
  </si>
  <si>
    <t>[["martial", 0.7919138902163025], ["matic", 0.45140214274530055], ["pass", 0.4112280340728648]]</t>
  </si>
  <si>
    <t>What a pass from Matic, Martial should have shot with his left. This is why Martial isn't a top striker, just wasted Matic's through pass. What a pass that is from Matic into Martial. Martial goes down under pressure but never a penalty there.</t>
  </si>
  <si>
    <t>[["footbal", 1.0]]</t>
  </si>
  <si>
    <t>All we need is Leicester City win for the victory of football. Do your thing, vardy. Rashford you don't want CL football. Scenes if Leicester get CL football. Greenwood and Williams are the only man Utd players playing great football, the rest.....</t>
  </si>
  <si>
    <t>[["onth", 0.7825171773376618], ["forward", 0.6226289964107824]]</t>
  </si>
  <si>
    <t>The theme song for celebrating Manchester United's draw (WIN) today is Jollof Onthe Jet 🎵🔴🛩⚽️. At this point I’m taking Bruno off and pushing Pogba forward. Take off Bruno and Matic. Bring on Fred McTominay and push Pogba forward.</t>
  </si>
  <si>
    <t>[["fight", 0.7937246960894493], ["keep", 0.4386311377583003], ["sub", 0.42143069632689373]]</t>
  </si>
  <si>
    <t>Sub rashford off now. Keep. Fighting. Reds. 😤. #MUFC #LEIMUN. Come the fuck on Leicester, I want you in the Champions League more than I want 1k subs (and I'd quite like that tbf) #LEIMUN. Fuck Ayoze Perez being subbed 😭😭😭. A strange sub if your hunting’s goal #LEIMUN.</t>
  </si>
  <si>
    <t>[["hit", 0.5333395181711311], ["bar", 0.528593904798595], ["corner", 0.48599239928851334], ["vardi", 0.44715638204162284]]</t>
  </si>
  <si>
    <t>Vardy has hit bar 😂. This team go kill me walahi. #Vardy just hit bar. Some people heart dey do gbimgbim like this😂😂. #LEIMUN. De Gea has let that go out for a corner.... What the hell is De Gea doing? Leave a flick go hit the bar then a easy deflection roll out for a corner.</t>
  </si>
  <si>
    <t>[["footbal", 0.9096083219197476], ["yellow", 0.3517278952755116], ["card", 0.22113386981509559]]</t>
  </si>
  <si>
    <t>Both Lindelof and Maguire on a yellow.. lord help us 😶. If we don't beat Leicester I'm sorry but we don't deserve to be playing Champions League football! I hope we can all agree that Pogba is a VERY average footballer! Rashford invested his football talent into feeding kids man.</t>
  </si>
  <si>
    <t>[["pogba", 1.0]]</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</si>
  <si>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</si>
  <si>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0.72851844957738], ["jonni", 0.4241767328512798], ["evan", 0.27558230723379995], ["record", 0.27558230723379995], ["set", 0.2697658072999375], ["new", 0.1894382640414563], ["pen", 0.1696564326547863]]</t>
  </si>
  <si>
    <t>Wish Martial would just hit instead of playing for penalties. Manchester United have now officially had the most penalties in a Premier League season. Jonny Evans helping us get a penalty and giving us a chance for Champions League. Once a red always a red.</t>
  </si>
  <si>
    <t>[["bruno", 0.5474518350459662], ["fernand", 0.3138262555016954], ["might", 0.3087150606839948], ["never", 0.22726936766356856], ["perform", 0.21915036699317592], ["pen", 0.21451719748893544], ["still", 0.20929900023465894], ["seen", 0.20126844855065454], ["end", 0.19942270404767887], ["gooal", 0.16229013837037878], ["gol", 0.16229013837037878], ["fpl", 0.16229013837037878], ["fire", 0.16046882178400868], ["big", 0.1581152605650341], ["aw", 0.15764713104889047], ["min", 0.15047495749073964], ["assist", 0.14664821448814555], ["manag", 0.11676632217400736], ["mani", 0.11624368623737517], ["player", 0.10397733294830674]]</t>
  </si>
  <si>
    <t>Bruno Fernandes with another pen we can't beat this guy ffs. Get in. I'd take bruno off and put pogba further forward. I've never seen a player have so many awful performances and still manages to get a goal from a penalty in the end like Bruno Fernandes 😭.</t>
  </si>
  <si>
    <t>[["14th", 1.0]]</t>
  </si>
  <si>
    <t>Manchester United were just awarded their 14th penalty of the season. #Arsenal got their 3rd today. 20 penalties in all competitions. Record 14th in the EPL. Penchester United. #LEIMUN. That was Manchester United's 1⃣4⃣th penalty of the season, a new Premier League record...👀.</t>
  </si>
  <si>
    <t>[["gea", 0.8131664790858716], ["point", 0.5820311652232092]]</t>
  </si>
  <si>
    <t>De gea of the best of bests. De gea, my goal keeper ❤️❤️❤️. Battle for the top four as it stands: 3️⃣ Man Utd - 66 points. 4️⃣ Chelsea - 66 points. --------- 5️⃣ Leicester - 62 points. 75’ De Gea what a save! #LEIMUN. Can De Gea act like he's a goalkeeper now?? 😭😭.</t>
  </si>
  <si>
    <t>[["lingard", 0.9866480173121569], ["histori", 0.11598395303115835], ["spot", 0.1143390247170929]]</t>
  </si>
  <si>
    <t>Lingard coming on for his final game in the league for utd. I agree with the lingard sub, lingard runs about a lot and covers space. Lingard to score and confirm 3rd place for us pls 🥺🥺.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</si>
  <si>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</si>
  <si>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</si>
  <si>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0.9521920885588794], ["love", 0.305499961515348]]</t>
  </si>
  <si>
    <t>Bruno Fernandes scores to put United where they want to be. Couldn’t have been anyone else. What a signing.. Does anyone love scoring penalties more than Bruno Fernandes?. Love a Leicester goal here to finish third.</t>
  </si>
  <si>
    <t>[["yellow", 0.877901140616668], ["maguir", 0.3385830067702791], ["free", 0.2464105829734064], ["kick", 0.15860673650274448], ["pogba", 0.12074126784897866], ["foul", 0.11915707617773402]]</t>
  </si>
  <si>
    <t>Maguire gives away a free kick in a dangerous area. Too many of those today. One of those yellow card unless it's a second yellow tackles by Maguire... Maguire 🤭... Attacking player has his back to goal, absolutely no need to foul.</t>
  </si>
  <si>
    <t>[["foul", 0.6915341396916056], ["red", 0.446178275354663], ["ref", 0.4080822550312123], ["jonni", 0.28175234549243305], ["evan", 0.27711003081931634]]</t>
  </si>
  <si>
    <t>Ref has to be a Leicester fan. Anytime we apply pressure to a Leicester player, he gives a foul. Ndidi actually fouled Pogba there and not the other way round. Dude Leicester have fouled us in our box like five times. Expected a red for maguire but where did Evans come from 😂.</t>
  </si>
  <si>
    <t>[["evan", 0.49890057650424297], ["tackl", 0.48127791537081654], ["card", 0.359105406831965], ["jonni", 0.3177463579885904], ["undoubtedli", 0.264465230544865], ["mctominay", 0.21826044991492813], ["johnni", 0.21141355947039767], ["min", 0.21050685487241397], ["sent", 0.16940894930999809], ["scott", 0.1483704851557902], ["danger", 0.14117622271806807], ["aw", 0.1109869885888993]]</t>
  </si>
  <si>
    <t>Agent Evans has been playing for Utd rather than Leicester. Jonny Evans of all players to get sent off 😂. Johnny Evans is my new favourite players... Mctominay is a cunt. Awful tackle from Jonny Evans. Given a penalty away and a red card against his former club. #mufc.</t>
  </si>
  <si>
    <t>[["lingard", 0.8929224725674718], ["legend", 0.36450737844681574], ["gol", 0.26424198955090816]]</t>
  </si>
  <si>
    <t>Man who in the world thought lingard will get a goal today lmao. Ffs schmeichel should be sacked immediately for letting lingard score. Lingard final game of the season loooool get that guy out my club. Lingard scores ahahhahahahaha what a final day this has turned out to be.</t>
  </si>
  <si>
    <t>[["jess", 0.5344873929579512], ["fifth", 0.41809532863339943], ["none", 0.379711587156547], ["fpl", 0.35175047459765607], ["assist", 0.3190001944085056], ["third", 0.31664641559359713], ["full", 0.26378809791646135]]</t>
  </si>
  <si>
    <t>Ole's tricky reds into the champions league barcelona better watch out for jesse lingard and the crew. Lingard scores and Utd finish third not a sentence I expected back in November or even 20 minutes ago. Breaking! Jesse Lingard has scored a premier league goal 🚨.</t>
  </si>
  <si>
    <t>[["david", 0.6559877933310937], ["marshal", 0.6496945281290631], ["save", 0.38415756548551283]]</t>
  </si>
  <si>
    <t>David Marshall appreciation tweet ❤ #SCOCZE. David marshall let me kiss you. His name is David Marshall and he's a shagger. #SCOCZE. What a save David Marshall EURO 2020. Is David Marshall the greatest keeper of all time? #SCOCZE. #sco. David Marshall what a save. Wigan’s finest.</t>
  </si>
  <si>
    <t>[["wide", 0.5773502691896257], ["unlucki", 0.5773502691896257], ["lyndon", 0.5773502691896257]]</t>
  </si>
  <si>
    <t>Good attacking play down the left but Dykes shoots wide. Dykes just wide #SCO #SCOCZE. Wow that Roar and Dykes just puts it wide.. Sooo unlucky there Dykes. Liquid Football Scotland. Unlucky. Dykes great movement in the box. #SCOCZE. Is that Lyndon Dykes?</t>
  </si>
  <si>
    <t>[["donnel", 0.7686578628097691], ["stephen", 0.4552386135423091], ["nathan", 0.36613823256564043], ["defend", 0.260510439972189]]</t>
  </si>
  <si>
    <t>How is this O'Donnell guy a footballer 😂😂😂 #SCOCZE. Nathan Patterson wouldn't have got in his way.. Great defending from Stephen O'Donnell of the Czech Republic. May not be related to Phill O'Donnell but its good to see an O'Donnell down that side.</t>
  </si>
  <si>
    <t>[["close", 0.37796447300922725], ["chanc", 0.37796447300922725], ["save", 0.37796447300922725], ["buri", 0.37796447300922725], ["sprint", 0.37796447300922725], ["ronni", 0.2630980123548837], ["grant", 0.2611725547072279], ["hanley", 0.23702061546975658], ["whelan", 0.2255125820184718], ["celtic", 0.15093261444570005], ["brazi", 0.1358943242640425]]</t>
  </si>
  <si>
    <t>Huge chance for #SCO. Great football but what a save! EURO 2020. Is someone gonna tell Ronnie Whelan that it's Scotland and not Celtic playing? #SCOCZE. Right when did Grant Hanley become a fucking baller? Was that Grant Hanley or Ronaldo sprinting back there 👀.</t>
  </si>
  <si>
    <t>[["class", 1.0]]</t>
  </si>
  <si>
    <t>Do think McTominay is a top class player tbf. Robbo is world class also. Hanley has been class. Andy Robbo Is World Class 🔴 #SCOCZE. Christie's been absolutely Class👏🏻👏🏻. #SCO. Robertson is having a class game #sco. Hanley master class.</t>
  </si>
  <si>
    <t>[["header", 0.5], ["cross", 0.5], ["patterson", 0.5], ["sake", 0.4205155721805652], ["fuk", 0.2704933521431754]]</t>
  </si>
  <si>
    <t>Schick that’s a proper header, Czech got so many giants in the box. See, it wasn't Soucek but a header from a cross. Stop them putting crosses in. Hanley well beaten to the header for that Czech goal. Great header but we’ve had chances, Patterson and Adams on and it will come.</t>
  </si>
  <si>
    <t>[["patterson", 0.4245566801318842], ["adam", 0.42010472980923047], ["love", 0.3432330283946539], ["razor", 0.3432330283946539], ["feel", 0.3432330283946539], ["billi", 0.2667385780716226], ["che", 0.26261873117971285], ["odonnel", 0.2355666612840136], ["gilmour", 0.21600796918006104], ["half", 0.18842615824391534], ["need", 0.1098331791306468]]</t>
  </si>
  <si>
    <t>@AshwinRaman_ I've got a schick feeling about this game :( Scotland would be winning if billy gilmour was playing. Adams needs to come on at half time. #scocze. Armstrong off gilmour on. O’Donnell off Patterson on. Christie off che Adams on.</t>
  </si>
  <si>
    <t>[["half", 0.4082482904638631], ["penalti", 0.4082482904638631], ["patterson", 0.4082482904638631], ["pen", 0.4082482904638631], ["che", 0.3286371619906966], ["dyke", 0.28821337060375046], ["adam", 0.24220710647164614], ["pish", 0.2045500559560405], ["get", 0.204350175630638]]</t>
  </si>
  <si>
    <t>@caldwellrowan29 boril stood his ground, if he runs into him it's a clear pen. @markgoldbridge Well Scotland have che Adams on the bench. Baffled as to why he hasn't started. McTominay is getting that penalty if he's playing for man u in the league.</t>
  </si>
  <si>
    <t>[["patrick", 0.5], ["whigfield", 0.5], ["forrest", 0.40887336362741733], ["assist", 0.37169480125242915], ["coufal", 0.33442932694654215], ["jame", 0.2877891111838698]]</t>
  </si>
  <si>
    <t>@redgewd Coufal got the assist on the goal! ⚒. Are they playing fucking Whigfield over the tannoy? What year is this? #SCOCZE. @mstewart_23 I’ll have whatever you’ve taken, James Forrest 😂😂. 1-0 Czech Republic. Patrick Schick gives them the lead vs Scotland!.</t>
  </si>
  <si>
    <t>[["far", 0.7071067811865476], ["patrik", 0.4570040328105138], ["trail", 0.38554226388642693], ["put", 0.37749765132018437]]</t>
  </si>
  <si>
    <t>Get Steve Clarke so far to fuck. @andrewrobertso5 How far can Scotland go at EURO 2020? Tweet of the day so far👇. 🏴󠁧󠁢󠁳󠁣󠁴󠁿🆚🇨🇿 Who's impressed you so far? EURO 2020. Patrik Schick opens the scoring for the Czech Republic to put them up 0-1 over Scotland 🇨🇿.</t>
  </si>
  <si>
    <r>
      <rPr>
        <u/>
      </rPr>
      <t>The Guardian</t>
    </r>
    <r>
      <rPr>
        <u/>
      </rPr>
      <t xml:space="preserve">, </t>
    </r>
    <r>
      <rPr>
        <u/>
      </rPr>
      <t>BeSoccer</t>
    </r>
    <r>
      <rPr>
        <u/>
      </rPr>
      <t xml:space="preserve">, </t>
    </r>
    <r>
      <rPr>
        <u/>
      </rPr>
      <t>LiveScore</t>
    </r>
    <r>
      <rPr>
        <u/>
      </rPr>
      <t xml:space="preserve">, </t>
    </r>
    <r>
      <rPr>
        <u/>
      </rPr>
      <t>BBC</t>
    </r>
  </si>
  <si>
    <t>Get Billy Gilmour on second half #SCO. Che Adams is a must in the second half. C'mon Scotland big second half to turn it around #SCO. Bound to see Billy Gilmour in the second half.</t>
  </si>
  <si>
    <t>[["che", 0.8353068216182673], ["adam", 0.5497840610257707]]</t>
  </si>
  <si>
    <t>@KingsSpotland No a lot between the from the goal that is. Che Adams now on for Christie. Yassss Che Adams on! All our hopes rely on an Englishman come on che! 🏴󠁧󠁢󠁳󠁣󠁴󠁿. They had Che Adams on the bench this whole time? 😳. In 2 mins che Adams has done more than dykes.</t>
  </si>
  <si>
    <t>[["jack", 0.5589108331649966], ["hendri", 0.4971014827929954], ["marshal", 0.43883677681503047], ["save", 0.2929611921767628], ["david", 0.24364024630386186], ["second", 0.19684336961385032], ["fuck", 0.181436837177943], ["keep", 0.1762884338341655]]</t>
  </si>
  <si>
    <t>Wow Scotland have started this second half terribly two big saves from David Marshall to keep them in this game. Scotland need to show a lot more urgency. Hendry, why oh why oh why did you do that? 🤦. Also, what in the living fuck was Jack Hendry doing?</t>
  </si>
  <si>
    <t>[["vaclik", 0.7071067811865476], ["hell", 0.6237560034618965], ["bloodi", 0.3330592261824351]]</t>
  </si>
  <si>
    <t>Can Vaclik fuck off pls. Wow Vaclik 🤣🤣🤣🤣. Bloody hell.... #SCOCZE. Vaclik on 🔥 #SCOCZE. Vaclik is on something surely. Fucking hell why is O'Donnell still on the pitch? Vaclik the goat. Unreal from Vaclik. Vaclik. That was magnificent. #SCO vs #CZE is one hell a game !!</t>
  </si>
  <si>
    <t>[["differ", 0.7071067811865476], ["god", 0.4457540584710745], ["patrick", 0.4334553066735452], ["schick", 0.33677858671998245]]</t>
  </si>
  <si>
    <t>Look at the difference with Chè Adams on the pitch already, a different gravy. #SCO #SCOCZE. Che Adams looks good already…what a difference #sco. Oh my god, what an insane goal from Schick. Absurd. Oh my god, that goal by Schick. 👀. @czechfooty schick is god, that's all i can say.</t>
  </si>
  <si>
    <t>[["shick", 0.3831349471404576], ["way", 0.3099692711655675], ["fuck", 0.2886186837573686], ["christ", 0.1915674735702288], ["que", 0.1915674735702288], ["shoot", 0.1915674735702288], ["lob", 0.1915674735702288], ["hahahaha", 0.1915674735702288], ["worldi", 0.1915674735702288], ["poor", 0.1915674735702288], ["finish", 0.1915674735702288], ["ridicul", 0.1915674735702288], ["brilliant", 0.1915674735702288], ["amaz", 0.1915674735702288], ["lol", 0.1915674735702288], ["sick", 0.1915674735702288], ["patrick", 0.1915674735702288], ["halfway", 0.1915674735702288], ["hell", 0.1915674735702288], ["sake", 0.16516403825074005], ["david", 0.14292054536772061], ["marshal", 0.1275610232080067], ["half", 0.11051923068383766], ["line", 0.10229668081284671]]</t>
  </si>
  <si>
    <t>Fuck off Hendry you fucking cunt get fucked you selfish fucking bastard fuck off. Keep david marshall in derby and never let him back in scotland. Schick do you fancy scoring from the half way line?…. Patrick schick was amazing for leipzig and roma. im not surprised.</t>
  </si>
  <si>
    <t>[["seen", 0.3162277660168379], ["contend", 0.3162277660168379], ["unbeliev", 0.3162277660168379], ["unreal", 0.3162277660168379], ["gol", 0.3162277660168379], ["stun", 0.3162277660168379], ["pun", 0.3162277660168379], ["bend", 0.3162277660168379], ["halfway", 0.3162277660168379], ["execut", 0.3162277660168379]]</t>
  </si>
  <si>
    <t>Goal of the euro tournament this season 👌🏻👌🏻. Absolutely stunning. #cze. Schick just scored a contender for goal of the tournament... From execution tobprecision everything was spot on from Schick.. #cze. 👀 haven’t seen the halfway line goal in ages. ⚽️.</t>
  </si>
  <si>
    <t>[["cavani", 0.5], ["hell", 0.5], ["worldi", 0.5], ["schik", 0.5]]</t>
  </si>
  <si>
    <t>That Schick goal is what United fans thought Cavani's goal was. Worldy from Schick for the Czech Republic. EURO 2020. It is amazing Patrik Schik just scored goal from the middle of the pitch lobbing a goalkeeper at the same time and it is 2-0! #Sco #Cze EURO 2020 #football #Schik.</t>
  </si>
  <si>
    <t>[["strike", 0.37796447300922725], ["bend", 0.37796447300922725], ["lol", 0.37796447300922725], ["great", 0.3347793192978442], ["patterson", 0.3292333880730388], ["steve", 0.27394275419560565], ["clark", 0.2604083529398949], ["dyke", 0.24879088126038756], ["shite", 0.2393960027210792], ["gilmour", 0.18564083342597526], ["one", 0.17544215635819965], ["lyndon", 0.15378489568222123]]</t>
  </si>
  <si>
    <t>That was a great goal by #CZE Euro 2020. What we see vs what Steve Clarke sees. @WestEndBluenose Get Gilmour Patterson on. Armstrong O'Donnell off. @NigeWolves 🤣🤣🤣🤣🤣🤣🤣🤣🤣🤣🤣🤣🤣🤣🤣🤣🤣🤣🤣🤣🤣🤣🤣nearly as funny as score at hampden Park lol lol lol. The bend on the Schick strike is very good.</t>
  </si>
  <si>
    <t>Schick</t>
  </si>
  <si>
    <t>[["goali", 0.5], ["class", 0.4187694448186713], ["soucek", 0.3720611793742926], ["jack", 0.36724672843288136], ["hendri", 0.33930788445797344], ["assist", 0.3340216741509605], ["world", 0.27318885791016784]]</t>
  </si>
  <si>
    <t>What is this goalie doing?? World class! Soucek’s team winning 🤮🤮🤮. In less than 24 hours we've seen two world class goals.. The Euros are just getting started lads. There's more to come.. EURO 2020 #Schick. Was that not a soucek assist? Jack Hendry 🤦‍♀️. Hendry👀.</t>
  </si>
  <si>
    <t>[["angl", 0.5773502691896257], ["commentari", 0.5773502691896257], ["feel", 0.46117903407059974], ["scot", 0.34734310395780427]]</t>
  </si>
  <si>
    <t>The behind the goal camera angle is 😮. This angle of the Schick. @EwanMacKenna Looks worse from this angle... What a goal, and what a commentary EURO 2020. The Scots must be feeling Schick EURO 2020. How boring is that commentary 😴. Have a feeling we’re going to sign Schick.</t>
  </si>
  <si>
    <t>[["dyke", 0.6145790465434989], ["wow", 0.4529101566789786], ["lyndon", 0.3848008128711167], ["che", 0.3431004108535361], ["adam", 0.29565134549856475], ["get", 0.25291443200706787]]</t>
  </si>
  <si>
    <t>How Che adams didn’t start this game I do not know. Scotland’s best attacking player. Che Adams is miles better than that Dykes guy, his so bad😳 how tf did they start him n bench Adams? That should have been in Lyndon Dykes do better 😭.</t>
  </si>
  <si>
    <t>Che Adams for Christie</t>
  </si>
  <si>
    <t>[["unlucki", 0.7071067811865475], ["callum", 0.5486786196209629], ["mcgregor", 0.446040101751888]]</t>
  </si>
  <si>
    <t>Absolute class but #SCO have been so unlucky all game. This Scotland team is leeds united version of euro, entertaining but so unlucky #scocze. If Callum Mcgregor is the answer then what is the question? Callum McGregor isn't going tae make any difference fs, pointless sub.</t>
  </si>
  <si>
    <t>[["vaclik", 0.31622776601683794], ["fella", 0.31622776601683794], ["goali", 0.31622776601683794], ["omg", 0.31622776601683794], ["nisbet", 0.31622776601683794], ["fuck", 0.31622776601683794], ["score", 0.31622776601683794], ["guy", 0.2776462579429987], ["puska", 0.25139938892809094], ["chanc", 0.20779030295086098], ["mani", 0.20034876243533317], ["award", 0.1918289530977596], ["dyke", 0.15136893819489466], ["need", 0.1291648690249011]]</t>
  </si>
  <si>
    <t>Goal of the tournament already!!! Puskas award contender!!! What a strike!!! He smashed the ball and the goalie in the goal! This guy Dykes has missed too many chances … he has to score that. Vaclik is playing out of his mind for the Czech Republic.</t>
  </si>
  <si>
    <t>Holeš for Kral</t>
  </si>
  <si>
    <t>[["che", 0.3917749898824734], ["fraser", 0.3912628955723939], ["ryan", 0.336920223570016], ["adam", 0.33645585634178243], ["shite", 0.2582103028634224], ["terribl", 0.2582103028634224], ["save", 0.2582103028634224], ["nisbet", 0.2582103028634224], ["goali", 0.2582103028634224], ["wow", 0.2582103028634224], ["worst", 0.205060655522522], ["striker", 0.11422470218468878], ["ive", 0.1075890583298926]]</t>
  </si>
  <si>
    <t>Dykes should have scored that!... But what a save it was. Ryan Fraser coming on, I always forget he's like 5'4." This dykes brudda is terrible how did steve clarke start him over che adams? Che adams is doing so well putting himself about 👏🏾⚽️ #sco.</t>
  </si>
  <si>
    <t>Fraser for Amstrong</t>
  </si>
  <si>
    <t>[["lol", 0.408248290463863], ["shick", 0.408248290463863], ["save", 0.408248290463863], ["still", 0.3456231791870055], ["callum", 0.3203839020907318], ["steve", 0.2985525047763645], ["clark", 0.278447604691485], ["mcgregor", 0.2530233624545036], ["pitch", 0.21728157923610034]]</t>
  </si>
  <si>
    <t>@Iammirzaarif This goal from Shick. What a game it is. 🔥. Steve clarke is not serious at all. Why are there still 5 at the back and why is O'Donnell still on the pitch 🙇‍♂️. We live in a world where Steve Clarke has brought on Callum McGregor over Billy Gilmour. Unbelievable.</t>
  </si>
  <si>
    <t>McGregor for Hendry</t>
  </si>
  <si>
    <t>[["hlozek", 0.7071067811865475], ["fraser", 0.527209341509535], ["ryan", 0.4712221453041892]]</t>
  </si>
  <si>
    <t>Scotland need a goal and they bring on Ryan Fraser 🤣🤣. Adam Hlozek, nick. Did work for me on Footy Manager. Adam Hlozek on for the Czech Republic.. FM folks eating good already with the Euros. Hlozek 😍 if you play fm 21 this is a moment right now!</t>
  </si>
  <si>
    <t>Hložek for Jankto</t>
  </si>
  <si>
    <t>[["lyndon", 0.8431788615998991], ["dyke", 0.5376331531361307]]</t>
  </si>
  <si>
    <t>Lyndon Dykes in the box. Lyndon dykes after being asked to run. Get Lyndon fucking dykes off the park. Dykes 😎. Stop calling up Lyndon Dykes @ScotlandNT. Lyndon Dykes Vs Czech Republic.. Lyndon Dykes 🔥🔥🥶🥶 better then Werner??🩹🩹🍺🍺. @QPR have sent Lyndon Dykes undercover 🏴󠁧󠁢󠁥󠁮󠁧󠁿.</t>
  </si>
  <si>
    <t>Vydra for Masopust</t>
  </si>
  <si>
    <t>[["mctominay", 0.6324555320336759], ["shit", 0.31622776601683794], ["nisbet", 0.31622776601683794], ["forrest", 0.2743921405622243], ["billi", 0.2457708630611202], ["lyndon", 0.24574796009834018], ["david", 0.24438234816180912], ["marshal", 0.20069197270175088], ["dyke", 0.1990174366921265], ["gilmour", 0.1989891526445402], ["jame", 0.15719081779060926]]</t>
  </si>
  <si>
    <t>@brougher1 @andycrichton6 Why take off hendry put mctominay back to bring in McGregor,just take mctominay off,but he plays for man u so can't do that. Nisbet and Adams in the squad and he picks dykes😭. James fucking forrest over turnbull or fucking billy gilmour just fuck off.</t>
  </si>
  <si>
    <t>Forrest for O'Donnell</t>
  </si>
  <si>
    <t>[["mcginn", 0.5], ["late", 0.4243958170477413], ["hat", 0.42168530531592424], ["stephen", 0.4203362802349888], ["donnel", 0.2707718809592549], ["trick", 0.2686661558153833], ["minut", 0.2643637465167645]]</t>
  </si>
  <si>
    <t>Stephen O’ Donnell got 78 minutes of that game. 🤦🏽‍♂️ #SCOCZE. Too late for a call up @ScotlandNT ? 🤣🏴󠁧󠁢󠁳󠁣󠁴󠁿 EURO 2020. Dykes coming off 78 minutes too late. No one is better than McGinn at that. Schick should have a hat trick right now what a chance to score.</t>
  </si>
  <si>
    <t>Nisbet for Dykes</t>
  </si>
  <si>
    <t>[["alreadi", 0.7882220560795985], ["tournament", 0.4379684773556627], ["wrap", 0.4323073017569941]]</t>
  </si>
  <si>
    <t>Already have goal of the tournament on the 4th day 😭😭😭🔥🔥🔥. A few games into the tournament and this guy already has the goal of the tournament 😭😭😭😭❤️. Goal of the tournament already no debates 😳🔥#SCOCZE EURO 2020. So we have the goal of the tournament wrapped up already #SCOCZE..</t>
  </si>
  <si>
    <t>Ševčik for Schick</t>
  </si>
  <si>
    <t>[["steve", 0.5832176104824696], ["clark", 0.5393225910781401], ["patrick", 0.41383848084389446], ["save", 0.30565001167221534], ["marshal", 0.19832027374671218], ["david", 0.19623819101537343], ["fuck", 0.1626769348171854]]</t>
  </si>
  <si>
    <t>David marshall has saved us all game this could be 5/6. Scotland beaten at home by the Czechs. Two wonderful goals by Patrick Schick. Second a contender for goal of the tournament already. What the fuck was David Marshall doing that high up the pitch?. Patrick Schick.</t>
  </si>
  <si>
    <t>Krmencik for Darida</t>
  </si>
  <si>
    <t>[["save", 0.6626385616258341], ["marshal", 0.5867136617440293], ["david", 0.4654859995417247]]</t>
  </si>
  <si>
    <t>David Marshall Save bc😳🔥. Great save from David Marshall as Czech Republic nearly take the lead after McGinn was caught in possession #SCOCZE #SCO #CZE #Scotland EURO 2020. Good save by Marshall.. #SCOCZE EURO 2020. David Marshall what a save. Wigan’s finest.</t>
  </si>
  <si>
    <t>[["donnel", 0.6063338163622612], ["stephen", 0.5713622705787287], ["defend", 0.5530863032969588]]</t>
  </si>
  <si>
    <t>Good defending by o'donnell there for the czechs 😭😭. Great defending from Stephen O'Donnell of the Czech Republic. Stephen O'Donnell defending brilliantly against Ryan Christie. First time Christie beats a man all season and Stephen O'Donnell tackles him 🤣🤣🤣.</t>
  </si>
  <si>
    <t>Class save #CZE. It’s a good save. ‘Mon!!!!! #SCO EURO 2020. Fantastic save #Sco #CZE. What a save from Vaclik. What a save that was #SCOCZE. Oh he did hit the target good save euro 2020. Good shot good save 😵. #SCOCZE. Good save Vaclik. What a save by the #CZE keeper!</t>
  </si>
  <si>
    <t>[["header", 0.8164965809277261], ["lead", 0.4082482904638631], ["schick", 0.3521855123269182], ["goal", 0.20647525656526713]]</t>
  </si>
  <si>
    <t>What a cross, and what a header from Schick 👏🏻. Most goals in the tournament are from header. EURO 2020. That is an absolutely top class header from Schick! #CZE. Schick scores from a header to lead for czech republic against Scotland 1-0.</t>
  </si>
  <si>
    <t>[["patrick", 0.7071067811865475], ["half", 0.4816667160978342], ["adam", 0.41342467148128376], ["patterson", 0.3115721675858114]]</t>
  </si>
  <si>
    <t>Goal for #CZE. Patrick Schick with a lovely header on to the bottom corner! Che Adams on for Armstrong then Patterson on for O’Donnell in this second half. Adams and Patterson must come on at half time. 1-0 Czech Republic. Patrick Schick gives them the lead vs Scotland!.</t>
  </si>
  <si>
    <t>[["penalti", 1.0]]</t>
  </si>
  <si>
    <t>Christie what a run and why no penalty for mctominay. In what universe was that not a penalty for Scotland? Euro 2020. What is the view of “there was contact” brigade on that penalty there most certainly was (lots)? Probably not a penalty because he didn’t dive and roll? #SCOCZE.</t>
  </si>
  <si>
    <t>[["patterson", 0.8944271909999159], ["assist", 0.3810838907363705], ["coufal", 0.23404074051589827]]</t>
  </si>
  <si>
    <t>🇨🇿 Vladimir Coufal for club and country this season: 51 appearances. 12 assists. A brilliant assist to give Czech Republic the lead against Scotland.. Scotland National Team Gilmour Patterson on second half please. Adams and Patterson on and the goals will come.</t>
  </si>
  <si>
    <t>[["save", 0.7614810617041359], ["marshal", 0.4733105020730313], ["second", 0.44285862449919294]]</t>
  </si>
  <si>
    <t>Great save from David Marshall already as Czech Republic look for the second goal. Another good save just after that. Dreadful start for Scotland to the second half. #SCOCZE #SCO #CZE #Scotland EURO 2020. Marshall very busy with two big saves early in this half EURO 2020 #SCO.</t>
  </si>
  <si>
    <r>
      <rPr>
        <u/>
      </rPr>
      <t>The Guardian</t>
    </r>
    <r>
      <rPr>
        <u/>
      </rPr>
      <t xml:space="preserve">, </t>
    </r>
    <r>
      <rPr>
        <u/>
      </rPr>
      <t>BeSoccer</t>
    </r>
    <r>
      <rPr>
        <u/>
      </rPr>
      <t xml:space="preserve">, </t>
    </r>
    <r>
      <rPr>
        <u/>
      </rPr>
      <t>LiveScore</t>
    </r>
    <r>
      <rPr>
        <u/>
      </rPr>
      <t xml:space="preserve">, </t>
    </r>
    <r>
      <rPr>
        <u/>
      </rPr>
      <t>BBC</t>
    </r>
  </si>
  <si>
    <t>[["poor", 0.2773500981126146], ["lob", 0.2773500981126146], ["patrick", 0.2773500981126146], ["halfway", 0.2773500981126146], ["unbeliev", 0.2773500981126146], ["gol", 0.2773500981126146], ["shick", 0.2773500981126146], ["freak", 0.2773500981126146], ["ridicul", 0.2773500981126146], ["seen", 0.2773500981126146], ["contend", 0.2773500981126146], ["worldi", 0.2773500981126146], ["alreadi", 0.2288071815709058], ["strike", 0.15674932403253117]]</t>
  </si>
  <si>
    <t>Schick just lobbed the keeper from the midfield line. What a freaking goal. The winner of the best goal of the tournament already? Probably. Patrick Schick with a contender for goal of the tournament 🤯. The audacity 🙆🏾‍♂️ We have the goal of the tournament wrapped up already.</t>
  </si>
  <si>
    <t>[["class", 0.5], ["halfway", 0.5], ["pun", 0.5], ["cavani", 0.5]]</t>
  </si>
  <si>
    <t>That boy Schick is on another level. Been a class above so far. Social media execs trying to think of a Schick pun after that goal. Schick just scored a poundland version of cavani's goal vs fulham. ⚫️🇮🇹 Schick just scored a goal from the halfway line.</t>
  </si>
  <si>
    <t>[["schik", 0.5], ["contend", 0.5], ["unbeliev", 0.5], ["far", 0.39220734666345203], ["best", 0.23323764097344907], ["chick", 0.20438590963262418]]</t>
  </si>
  <si>
    <t>That goal was unbelievable. No one could save that. #SCOCZE. Best game of the tournament so far. End to end and full of action so far. And some fantastic goals! #SCOCZE EURO 2020. Patrick Schik’s goal from the halfway line. 🔥 Goal of the tournament contender. 🙌🏼. EURO 2020.</t>
  </si>
  <si>
    <t>[["shot", 0.5773502691896256], ["class", 0.4919075457309155], ["soucek", 0.42989388746095214], ["assist", 0.3853888670642206], ["world", 0.3022586637076273]]</t>
  </si>
  <si>
    <t>That shot was…. #Scotland EURO 2020. World class! 😱😱😱 3 seconds between each shot... Soucek’s team winning 🤮🤮🤮. In less than 24 hours we've seen two world class goals.. The Euros are just getting started lads. There's more to come.. EURO 2020 #Schick. Was that not a soucek assist?</t>
  </si>
  <si>
    <t>[["save", 0.6725446518674387], ["score", 0.3593766513772265], ["goalkeep", 0.3593766513772265], ["net", 0.3593766513772265], ["mani", 0.22114041421203798], ["chanc", 0.2013580513942204], ["vaclik", 0.17628777899806616], ["need", 0.14225518724997552], ["dyke", 0.13952380297438072]]</t>
  </si>
  <si>
    <t>Dykes needs binned, how many chances does he miss 🙉. Dykes should have scored that!... But what a save it was. #Scotland doing everything but finding the back of the net EURO 2020. 📸 - Another great save from Vaclik, what a performance he is having...</t>
  </si>
  <si>
    <t>[["patrick", 0.8944271909999159], ["alreadi", 0.4472135954999579]]</t>
  </si>
  <si>
    <t>Goal of the tournament already? Gonna be hard to top that 🤯. Patrick schick is a serious baller herh what a goal🔥🔥👍. At this moment in time, Patrick Schick is the best finisher in world football #scocze. Patrick Schick taking the goal of the tournament away from Yarmolenko.</t>
  </si>
  <si>
    <t>[["patrick", 0.7239647656940014], ["forrest", 0.6573179256554703], ["jame", 0.2093039957707907]]</t>
  </si>
  <si>
    <t>James Forrest has half my heart and Kieran Tierney has the other half🤍🤍🤍🤍. Patrick Schick, goal of the tournament no doubt 🔥🔥 EURO 2020. Patrick Schick with one of the best goals you'll ever see. (via TUDN USA).. That was sick from Forrest,What a goal that would have been.</t>
  </si>
  <si>
    <t>[["alreadi", 0.8718431016659355], ["tournament", 0.4897852652719572]]</t>
  </si>
  <si>
    <t>Goal of the tournament already! EURO 2020. Already have goal of the tournament on the 4th day 😭😭😭🔥🔥🔥. A few games into the tournament and this guy already has the goal of the tournament 😭😭😭😭❤️. So we have the goal of the tournament wrapped up already #SCOCZE..</t>
  </si>
  <si>
    <t>[["save", 0.7408867957016776], ["marshal", 0.4782975138120948], ["david", 0.47150635651714146]]</t>
  </si>
  <si>
    <t>David Marshall will be a national hero now after a save from 2-0 down. David marshall has saved us all game this could be 5/6. Great save, Marshall. 👏. #SCOCZE EURO 2020. David Marshall has saved us from a 5-0 the day, boys bottled it!!</t>
  </si>
  <si>
    <t>[["patrick", 1.0]]</t>
  </si>
  <si>
    <t>Best performance of the euros so far defo Patrick schick. But how about that second goal from Patrick Schick?! 😳😳😳. What an incredible performance by Patrick Schick out a world class 🏆. 1-0 Czech Republic. Patrick Schick gives them the lead vs Scotland!.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</si>
  <si>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</si>
  <si>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</si>
  <si>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</si>
  <si>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</si>
  <si>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</si>
  <si>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</si>
  <si>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[["schick", 0.599641489131586], ["cross", 0.47662677458001257], ["coufal", 0.45628020011067955], ["assist", 0.32330308136640523], ["gol", 0.18924786117930115], ["lead", 0.18924786117930115], ["defend", 0.17003232901296664]]</t>
  </si>
  <si>
    <t>Coufal assist, don’t think anyone’s surprised. His crosses are unreal. Coufal again with the assist. What a signing he was for west ham 🤑. Coufal with a free run and cross, horrendous defending 🥴. What a cross, and what a header from Schick 👏🏻.</t>
  </si>
  <si>
    <t>[["final", 0.7948262129858367], ["schick", 0.45225142854064804], ["scocz", 0.4046232031576246]]</t>
  </si>
  <si>
    <t>Finally one of those corner kicks paid off!!! EURO 2020. After playing Lawn Tennis with set-pieces, the Czech Republic finally score. #SCOCZE. Schick takes the lead for #SCO. EURO 2020. Finally!! A goal #SCOCZE. Winning a euros game isn't for everyone... #eng #SCOCZE.</t>
  </si>
  <si>
    <t>[["play", 0.6860783605149718], ["penalti", 0.41733024079102254], ["nod", 0.3542745468068332], ["pen", 0.24067643939890906], ["stephen", 0.2053764003815222], ["score", 0.1926895531095949], ["half", 0.18262623249950777], ["12th", 0.1725887921745301], ["premier", 0.17102160291903887]]</t>
  </si>
  <si>
    <t>Mctominay thinks he is still playing in United shirt in trying to win a penalty for Scotland 🤣🤣🤣. Fuck you Steve Clarke. Played quality attacking football against Netherlands just to play like a pussy today. I really want you to score Mctominay but that was not a penalty 😅.</t>
  </si>
  <si>
    <t>[["header", 0.952993861732746], ["assist", 0.30298960295645117]]</t>
  </si>
  <si>
    <t>We should not be losing a goal like that. Go and meet the header. Make it yours.. Big 2nd half ahead. #SCOCZE. Coufal for the assist, 👀. Coufal assist. Wonderful cross. is the first YouTuber to score at EURO 2020, having opened the scoring vs. Scotland. Excellent header. 🔥.</t>
  </si>
  <si>
    <t>[["half", 0.7576067390803937], ["var", 0.4864411309982488], ["ref", 0.4352092082816228]]</t>
  </si>
  <si>
    <t>Disappointing to concede having played well for most of the half. #SCOCZE. Best tackle of the first half half was Stephen O’Donnells on John McGinn when he was through on goal 😑. Ref has Donkey Brains. #SCO. Are they using VAR at this tournament? #SCOCZE.</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</si>
  <si>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</si>
  <si>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</si>
  <si>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r>
      <rPr>
        <u/>
      </rPr>
      <t>The Guardian</t>
    </r>
    <r>
      <rPr>
        <u/>
      </rPr>
      <t xml:space="preserve">, </t>
    </r>
    <r>
      <rPr>
        <u/>
      </rPr>
      <t>BeSoccer</t>
    </r>
    <r>
      <rPr>
        <u/>
      </rPr>
      <t xml:space="preserve">, </t>
    </r>
    <r>
      <rPr>
        <u/>
      </rPr>
      <t>LiveScore</t>
    </r>
    <r>
      <rPr>
        <u/>
      </rPr>
      <t xml:space="preserve">, </t>
    </r>
    <r>
      <rPr>
        <u/>
      </rPr>
      <t>BBC</t>
    </r>
  </si>
  <si>
    <t>[["crossbar", 0.7858962848653148], ["patrik", 0.48426158530828256], ["bar", 0.3845227515110192]]</t>
  </si>
  <si>
    <t>HENDRY HITS THE BAR! Oooof Scotland close to levelling the game as Jack Hendry’s effort hits the bar. Much better from Scotland. Hits the crossbar.. Scotland National Team.. #SCOCZE.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</si>
  <si>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</si>
  <si>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[["goal", 0.638893843691725], ["schick", 0.4631070329753915], ["patrick", 0.41037928475487373], ["keeper", 0.30082054297714217], ["gol", 0.18428169299171376], ["decis", 0.17340638598768565], ["bow", 0.16556782647475665], ["hendri", 0.16431723534608655]]</t>
  </si>
  <si>
    <t>That is fucking sensational from Patrik Schick take a bow. Schick's left foot is unreal mate!! Poor decision making by Hendry... Schick just lobbed the keeper from the midfield line. What a freaking goal. Fact: Patrick Schick is the best striker in the world.</t>
  </si>
  <si>
    <t>[["schick", 1.0]]</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</si>
  <si>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</si>
  <si>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0.6511865375437864], ["win", 0.5378430294292788], ["sorri", 0.5354259696877532]]</t>
  </si>
  <si>
    <t>Teamspirt💪🏻🔥 What a win en great atmosphere 🦁 EURO 2020. I actually predicted #SCO to win this game 1-0 lmaooo. I'm sorry Scotland, you'll never win with an ex Norwich goalkeeper #SCOCZE #Euros. OUT OF THIS WORLD FROM PATRIK SCHICK 🤯.</t>
  </si>
  <si>
    <t>[["refere", 0.7906074928802362], ["net", 0.6123232742609308]]</t>
  </si>
  <si>
    <t>Why is Ander Herrera refereeing this match? #SCOCZE. Getting absolutely nothing at all out of this referee #sco. The net looks broken from the aftermath of the goal #SCOCZE EURO 2020. The way the keeper went flying into the net is killing me, Schick did him dirty man💀.</t>
  </si>
  <si>
    <t>[["deflect", 0.8142709026895485], ["save", 0.5804850532383652]]</t>
  </si>
  <si>
    <t>McLaughlin wd have saved that 🤣. 🏴󠁧󠁢󠁳󠁣󠁴󠁿 61' - Stuart Armstrong's effort is deflected onto the roof of of the net. #SCO 0-2 #CZE. Thought that was deflecting in then😭 #SCOCZE EURO 2020. Scotland very unlucky yet again. Stuart Armstrong goes close but it deflects over the bar.</t>
  </si>
  <si>
    <t>[["goalkeep", 0.7254338469516491], ["sweeper", 0.439431511607931], ["marshal", 0.4053291978408397], ["dyke", 0.3411069065272667]]</t>
  </si>
  <si>
    <t>62' LYNDON DYKES !!! A chance from him is still anticipated by goalkeeper. Criminals from a goalkeeper of Marshall's experience. And exactly the Jack Hendry we've known. #SCOCZE. Steve Clarke just changed David Marshall from Sweeper keeper (attack) to Goalkeeper (defend).</t>
  </si>
  <si>
    <t>[["dyke", 0.7305357083252265], ["score", 0.5165995874241104], ["striker", 0.2837348733736112], ["schick", 0.25527109491422584], ["vaclik", 0.2318914290523728]]</t>
  </si>
  <si>
    <t>That’s so poor from Dykes, you have got to be scoring that. This guy Dykes has missed too many chances … he has to score that. Scotland should have scored least one by now. Dykes ugh, come on man. Dykes is actually so bad, great save by Vaclik but he has to be scoring that 😭.</t>
  </si>
  <si>
    <t>[["second", 0.7763343958526946], ["keep", 0.30583944324231666], ["best", 0.29970535214148175], ["half", 0.28040482709915027], ["david", 0.26382035977414453], ["play", 0.25635091842852553]]</t>
  </si>
  <si>
    <t>Ryan Fraser coming on now after refusing to play the opening hour as he wanted to stay fit for the final half hour. That Dykes really the best we have ? He’s fuckin pish. David Marshall did his best to keep it out 🧤. That second goal from Patrick Schick was rude uno golazoooo 🔥🔥🔥.</t>
  </si>
  <si>
    <t>[["sub", 0.560744052834246], ["2nd", 0.5484591134923045], ["net", 0.3436407386305909], ["terrorist", 0.32574474274526327], ["patrick", 0.3065421435214797], ["goalkeep", 0.2580543113585985]]</t>
  </si>
  <si>
    <t>2-0 down and we bring on mcgregor Steve Clarke football terrorist. All FM players watching Hlozek being subbed in at the euros. When that lad scored the 2nd goal for #cze he the net was literally a dot on the horizon. When Dykes missed he was basically inside the net.</t>
  </si>
  <si>
    <t>[["forrest", 0.7957212820986236], ["dyke", 0.4269154440891108], ["final", 0.2306959519811007], ["brought", 0.22249667775935592], ["odonnel", 0.21226829744810416], ["champion", 0.19180099279614285]]</t>
  </si>
  <si>
    <t>James Forrest🤣🤣🤣 clarke needs to stay off the sauce. Oh look ODonnell finally off for Forrest. And Nisbet on for Dykes. Finally Dykes is off, woohoo! He's just subbed o'donnell for forrest I've got no words. Dykes and Forrest should have been on half an hour ago ffs.</t>
  </si>
  <si>
    <t>[["crimin", 0.557726675070103], ["like", 0.5028655595108406], ["ref", 0.4878770270812431], ["marshal", 0.44502043932775165]]</t>
  </si>
  <si>
    <t>David marshall has saved us all game this could be 5/6. The ref's given Scotland nothing today #SCOCZE. Team like Scotland having a player like Billy Gilmour and not using him is absolutely criminal.... Some cracking goalkeeping from Vaclik and Marshall today 🧤.</t>
  </si>
  <si>
    <t>[["schick", 0.5990825106250166], ["blame", 0.42360490815216656], ["goal", 0.3832868149703728], ["sensat", 0.24697410697282893], ["armchair", 0.2258999184822431], ["patrick", 0.21455153322378623], ["patrik", 0.21088027569651366], ["simpl", 0.20626295218688576], ["least", 0.18914719966478064], ["secur", 0.18411774049446014]]</t>
  </si>
  <si>
    <t>Blaming Jack Hendry for taking a shot, not having it. That's football. That patrick schick goal will win goal of the tournament. Patrik Schick's wonder goal secures an opening game win for Czech Republic. Simple sensational. EURO 2020.</t>
  </si>
  <si>
    <t>[["masterclass", 0.7548599798331184], ["incom", 0.6558859739667744]]</t>
  </si>
  <si>
    <t>An incoming masterclass from Pogba, Kante Giroud EURO 2020. Pogba masterclass today. Paul Labile Pogba masterclass incoming 💯❤️ 🔥. Pogba and Mbappe masterclass incoming to save my fantasy team. Need a Pogba masterclass now. Another Pogba masterclass incoming.</t>
  </si>
  <si>
    <t>[["alreadi", 0.8550681385853726], ["kant", 0.5185156491140323]]</t>
  </si>
  <si>
    <t>Kante already with the assignment lol. Kante has already started work. lol. One tackle for Kante already. EURO 2020. Kante body checking already.</t>
  </si>
  <si>
    <t>[["kant", 0.7071067811865475], ["pavard", 0.7071067811865475]]</t>
  </si>
  <si>
    <t>@reganglackin98 Scotland’s Kante 👏🏻👌. Kante what a player. Kante is so good man. Kante wayyyyyy 😭. @EURO2020 @FrenchTeam Carried by kante. @EURO2020 @FrenchTeam Kante and others. Pavard honestly f u. Pavard is STRUGGLING! 😂 #HUNFRA EURO 2020. Pavard il guy. PAVARD YC.</t>
  </si>
  <si>
    <t>EURO 2020 #HUNFRA reference should give 2 yellow cards - Varane and Pavard! Pavard is gonna get cooked after that yellow on that flank. First yellow of the match to Paward ! #HUNFRA. First yellow card.. it’s been coming for a while to be fair EURO 2020 #HUNFRA. Pavard yellow hmmm.</t>
  </si>
  <si>
    <t>[["griezmann", 0.4904461273688137], ["offsid", 0.45627862726987123], ["save", 0.38418666376476945], ["gulasci", 0.2898451879675152], ["kant", 0.2898451879675152], ["gulacsi", 0.256525330888556], ["fuck", 0.2394235525584789], ["miss", 0.2142651912133009], ["anyway", 0.21150605727888805], ["doubl", 0.14791647817793746]]</t>
  </si>
  <si>
    <t>Kante is just so so so so so so good man. Griezmann was lucky he was offside how did he miss that. Credit to Gulacsi on the double save as well. Thought he should've done better with the first save but he reacted very well with the second save.</t>
  </si>
  <si>
    <t>[["header", 0.8164965809277261], ["giroud", 0.4082482904638631], ["deliveri", 0.4082482904638631]]</t>
  </si>
  <si>
    <t>Giroud would have 2 goals by now. 8 yards out free header 200 mill mbappe get fucked. Lucas Digne deliveries are top notch. 👌 #HUNFRA. That was such a beautiful delivery from Digne from the left flank. 👌👌. Mbappe should do better with that header.</t>
  </si>
  <si>
    <t>[["kimpemb", 1.0]]</t>
  </si>
  <si>
    <t>Kimpembe cannot do that. He's fortunate not to get carded. #HUNFRA. I would definitely take Kimpembe at Manchester United. Kimpembe, what was that? 🤦‍♂️. Don't rate kimpembe at all. Kimpembe body checked him #HUNFRA. France will not win this tournament starting Kimpembe.</t>
  </si>
  <si>
    <t>[["pogba", 0.5773502691896257], ["header", 0.5773502691896257], ["live", 0.5773502691896257]]</t>
  </si>
  <si>
    <t>Pogba i love u man. .. And Paul Pogba ♥️. Give the FK to Pogba he's scoring. Updated Headers stats for Mbappe. #HUNFRA. Look at Pogba balling😍 Pogba playing for France is so amazing to watch. Link to watch live please #HUNFRA. 🔴Live Hungary 🇭🇺 vs France 🇫🇷. EURO 2020..</t>
  </si>
  <si>
    <t>[["szalai", 0.5773502691896257], ["freekick", 0.5773502691896257], ["kick", 0.3911403617921743], ["free", 0.37062917122859096], ["mbapp", 0.20730790661435994]]</t>
  </si>
  <si>
    <t>*Szalai my bad, and good he was taken off. Wtf does Mbappe know about freekicks mara 🤦🏽‍♂️. Imagine getting subbed on and taking an Mbappe freekick to the dome 20 seconds later. I'd retire. Mbappe taking free kicks for France? Why tf is Pogba not there #HUNFRA.</t>
  </si>
  <si>
    <t>[["sitter", 0.4455164654841288], ["miss", 0.40639757456951553], ["giroud", 0.3003948237604865], ["finish", 0.2658028775436583], ["flick", 0.2658028775436583], ["hell", 0.2658028775436583], ["ff", 0.2658028775436583], ["bad", 0.2658028775436583], ["bumzema", 0.2658028775436583], ["bring", 0.22707014830449931], ["benzema", 0.21009135885374866], ["fuck", 0.1628274873768996]]</t>
  </si>
  <si>
    <t>@vxctorutd 30 and u missed this sitter by Griezmann 😭. Look at that ball from grizzou and the flick by mbappe 😍😍. Giroud would be easily finishing these chances that Benzema is shanking. Grizzy and mbappe combine to create a chance and then there's bumzema.</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</si>
  <si>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</si>
  <si>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[["tho", 0.4472135954999579], ["net", 0.4472135954999579], ["assist", 0.4472135954999579], ["lol", 0.4472135954999579], ["everyth", 0.3554337574548521], ["except", 0.19543488557815256], ["finish", 0.18834024944387154]]</t>
  </si>
  <si>
    <t>Benzema that should be at the back of the net. That second touch from Mbappe was lovely tho. LOOOOOL that’s poor from Benzema, my guy Giroud scores that. What an assist that would have been for Mbappe 😤. Mbappe did everything, except for the finish.</t>
  </si>
  <si>
    <t>[["ff", 0.408248290463863], ["compar", 0.408248290463863], ["control", 0.408248290463863], ["rabiot", 0.408248290463863], ["finish", 0.408248290463863], ["feet", 0.33800477069388807], ["quick", 0.22895292453873312]]</t>
  </si>
  <si>
    <t>Mbappe will finish his career as the goat. Digne is very good but dont compare him to KT. Mbappe and Benzema would've had France 2 up in minutes... Should've finished that. Bring on giroud ffs. These lot struggling to score against hungry. What is rabiot doing in this French team?</t>
  </si>
  <si>
    <t>[["stink", 0.5], ["ff", 0.5], ["aw", 0.5], ["bring", 0.5]]</t>
  </si>
  <si>
    <t>Benzema stinks so far, bring on the go kart guy. Benzema and mbappe doing everything they can to not score, just need 1 goal each ffs. Benzema has been awful! Lacazette would bring more to this France team. Bring on Giroud man, take this fraud off.</t>
  </si>
  <si>
    <t>[["madrid", 0.5], ["rabiot", 0.5], ["stink", 0.5], ["pogba", 0.5]]</t>
  </si>
  <si>
    <t>I'm not sure Rabiot has had up to 5 touches in this game. Rabiot is so so bad. Benzema ball dey stink ffs. Rabiot is out there just running around. Loooool you see it but he’s been stinking. Pogba I love you 😭😭😭. Is Rabiot the one sitting? Benzema for Madrid Vs for France.</t>
  </si>
  <si>
    <t>[["kimpemb", 0.7071067811865475], ["miss", 0.7071067811865475]]</t>
  </si>
  <si>
    <t>Kimpembe evolved... a lot! @anshid4569 France missing giroud EURO 2020 #FRAHUN. Kimpembe to be carded ⚡. @FrenchTeam Benzema is missing many chances today 🤪. Can't believe that farmer kimpembe hasn't been tested this tournament yet. Kimpembe pulled a Harden on that foul.</t>
  </si>
  <si>
    <t>[["llori", 0.34162510049168343], ["hunfra", 0.21748597219004573], ["shit", 0.21748597219004573], ["fuck", 0.21748597219004573], ["fiola", 0.21748597219004573], ["wow", 0.21748597219004573], ["varan", 0.21748597219004573], ["lead", 0.21748597219004573], ["bring", 0.21748597219004573], ["mud", 0.21748597219004573], ["wtf", 0.21748597219004573], ["deschamp", 0.21748597219004573], ["btw", 0.21748597219004573], ["crazi", 0.21748597219004573], ["kimpemb", 0.21748597219004573], ["omg", 0.21748597219004573], ["happen", 0.21748597219004573], ["hungria", 0.21748597219004573], ["woman", 0.16338396151682397], ["near", 0.1513673242160025], ["poor", 0.14354730655264247], ["post", 0.0947499766947013]]</t>
  </si>
  <si>
    <t>Lloris is done out here, beaten at his near post, got down like he was fucking 84 yrs old. Fiola nearly takes this woman out with his celebration 😁. Varane easy target for fans since that city game... whatever happens they put that on varane's head and bounce.</t>
  </si>
  <si>
    <t>[["god", 0.20412414523193148], ["ff", 0.20412414523193148], ["celebr", 0.20412414523193148], ["lmao", 0.20412414523193148], ["lose", 0.20412414523193148], ["honfra", 0.20412414523193148], ["great", 0.20412414523193148], ["frahun", 0.20412414523193148], ["kimpemb", 0.20412414523193148], ["atmospher", 0.20412414523193148], ["fault", 0.20412414523193148], ["lol", 0.20412414523193148], ["expos", 0.20412414523193148], ["conced", 0.20412414523193148], ["beauti", 0.20412414523193148], ["yellow", 0.20412414523193148], ["ramo", 0.20412414523193148], ["attila", 0.20412414523193148], ["kant", 0.20412414523193148], ["deserv", 0.20412414523193148], ["desk", 0.17858610211753576], ["price", 0.17785874112393982], ["woman", 0.1621201329802118], ["chanc", 0.14675190553455078], ["miss", 0.14188215140969965], ["tabl", 0.12403116200836421], ["varan", 0.10016453899696247], ["smash", 0.09886187737005482]]</t>
  </si>
  <si>
    <t>Hungary should attack that Pavard side, he is on a yellow. Good goal #Hun and desk smashing celebration to boot 🤣. France deserve that with the missed chances. Griezmann is at fuck all. Varane is so bad man, how did we not expose him in the first game 😭.</t>
  </si>
  <si>
    <t>[["dey", 0.5345399283044394], ["kant", 0.4007828368637207], ["rabiot", 0.2672699641522197], ["atmospher", 0.2672699641522197], ["shit", 0.2672699641522197], ["halftim", 0.2672699641522197], ["dribbl", 0.23153303556566465], ["miss", 0.2201150459167899], ["ballon", 0.20808241200213257], ["woman", 0.191999059134792], ["desk", 0.18592900534688886], ["dor", 0.1677347416407929], ["chanc", 0.15160013291213922]]</t>
  </si>
  <si>
    <t>This is the kante you people want to give ballon d’or? e ti sick. Why Kante try to dribble every time he got the ball????? France are not taking there chances, benzema missing a sitter. @Mr_kunlecole Benz dey miss chances but dey go still win mbappe and Greiz dey find spaces.</t>
  </si>
  <si>
    <t>[["wast", 0.593500249920548], ["pogba", 0.4646144235549217], ["mbapp", 0.32045093643220135], ["hungri", 0.32045093643220135], ["scene", 0.32045093643220135], ["need", 0.2481933638703183], ["utd", 0.1846392749527279], ["chanc", 0.16772857557320803]]</t>
  </si>
  <si>
    <t>#HUNFRA where is @_OlivierGiroud_ a lot of chances wasted could be goals if it was him. Euro live on France vs Hungry. Hungry complete 1 st goal. Hungry 1- France 0. EURO 2020 sopanali 21 # Digital marketer.. @StillJenz Not when I have pogba and Mbappe in my fantasy.</t>
  </si>
  <si>
    <t>Pavard</t>
  </si>
  <si>
    <t>[["bring", 0.7071067811865476], ["benz", 0.4714045207910317], ["stinker", 0.23570226039551584], ["shit", 0.23570226039551584], ["scene", 0.23570226039551584], ["rabiot", 0.23570226039551584], ["slander", 0.23570226039551584]]</t>
  </si>
  <si>
    <t>@Loux11_ Mbappe and benz should have 2 goals each rn 😂. Benzema Kane back to back stinkers for their countries, international football ain’t for everyone. If it will take Giroud to win the game abeg bring am. @de_mola100 You don't see the need to bring on Giroud in this game?</t>
  </si>
  <si>
    <t>Nikolic for Szalai</t>
  </si>
  <si>
    <t>[["celebr", 0.5621366598380605], ["bell", 0.5238979531208493], ["donni", 0.4763283415418651], ["stinker", 0.28106832991903025], ["smile", 0.27410795840182467], ["boy", 0.11960338987077818], ["tito", 0.1191850310005365]]</t>
  </si>
  <si>
    <t>Hungary have won celebration of the tournament.. EURO 2020.. "Belle, mag smile ka smile lang" -Donny. "Why? I'm smiling naman" -Belle. Belle smiles Meanwhile Donny. at the copying Belle's. camera. smile. DONBELLEx Boy Abunda.</t>
  </si>
  <si>
    <t>Fiola</t>
  </si>
  <si>
    <t>[["bring", 0.8944271909999159], ["pogba", 0.4472135954999579]]</t>
  </si>
  <si>
    <t>It’s @_OlivierGiroud_ time please bring him on #FRAHUN #fra. Bring on Giroud and he will win you the game. Pogba again. What are you doing my guy. How to not bring it home 🙃 #ENG EURO 2020. Get this Benzema don off and bring on the real french no.9…..@_OlivierGiroud_</t>
  </si>
  <si>
    <t>[["celebr", 1.0]]</t>
  </si>
  <si>
    <t>#HUN Goal Celebration 😳😂. The goal celebration though🔥🔥#HUNFRA. I want to be in the middle of this. Celebration!. #HUNFRA. Hungary have won celebration of the tournament.. EURO 2020.. Hungary celebrating the goal #HUNFRA. That goal celebration for Hungary😂#HUNFRA EURO 2020.</t>
  </si>
  <si>
    <t>[["rabiot", 0.8164965809277261], ["pavard", 0.4082482904638631], ["chanc", 0.3209823241508263], ["miss", 0.2522637791071096]]</t>
  </si>
  <si>
    <t>Benzema after missing his first big chance vs Hungary. @Kavinburner No but He'd do much better than Pavard. Rabiot is such a waste of a player. Rabiot needs to come off man. He’s been ass. Get Rabiot as far away from this team as possible. Rabiot is just not doing it for me.</t>
  </si>
  <si>
    <t>Botka</t>
  </si>
  <si>
    <t>[["celebr", 0.5773502691896257], ["kimpemb", 0.5773502691896257], ["bell", 0.4393860349150275], ["donni", 0.3745307005506806]]</t>
  </si>
  <si>
    <t>Hungary have won celebration of the tournament.. EURO 2020.. Kimpembe is just a disgrace of a player. Donny: i told belle, i just got a place recently. Tito Boy: why did you tell belle? Donny: because nagkukwento lang kami. DONBELLEx Boy Abunda.</t>
  </si>
  <si>
    <t>Dembélé for Rabiot</t>
  </si>
  <si>
    <t>[["sub", 0.6824510710034081], ["celebr", 0.3930661970247357], ["dembel", 0.3930661970247357], ["fiola", 0.2841920039207179], ["attila", 0.2715436247659205], ["deschamp", 0.20248714935293918], ["dembooti", 0.17250038928291356]]</t>
  </si>
  <si>
    <t>France need a goal and Deschamps subs on Dembooty 💀. Dembele for rabiot is a good change i was just thinking about. Next sub for France is likely going to be Benzema off for Giroud. Fiola with the best celebration of the tournament 🇭🇺.</t>
  </si>
  <si>
    <t>Griezmann</t>
  </si>
  <si>
    <t>[["ousman", 0.7198683994807399], ["deschamp", 0.38527364793991126], ["shit", 0.38527364793991126], ["lmao", 0.38527364793991126], ["dembel", 0.1910029738989887]]</t>
  </si>
  <si>
    <t>Deschamps wasn't impressed with this miss from Benzema 👀. France needs goals and they bring on Ousmane Dembele???? I know he’s been a bit inconsistent for Barca, but I still really like Ousmane Dembele. Ousmane done more in 2 minutes than Rabiot has done in 4 years.</t>
  </si>
  <si>
    <t>Cseri for Schafer</t>
  </si>
  <si>
    <t>[["varan", 1.0]]</t>
  </si>
  <si>
    <t>@MustiAhmad123 Varane was out of his place. Varane and Kante have no help like what is this. @OnIyWs @AFCMet Ye those 2 are Varane and Sancho. Varane is not even better than zouma. What being linked to United has done to varane🤣🤣🤣🤣🤣🤣🤣. Varane had a poor game so far EURO 2020.</t>
  </si>
  <si>
    <t>Tolisso for Pogba</t>
  </si>
  <si>
    <t>[["bell", 0.5412122731236875], ["donni", 0.4626718793578538], ["stinker", 0.4320804731071096], ["pavard", 0.4320804731071096], ["smile", 0.230026544217936], ["tito", 0.18367261383603234], ["boy", 0.1816290088962364]]</t>
  </si>
  <si>
    <t>"Belle, mag smile ka smile lang" -Donny. "Why? I'm smiling naman" -Belle. Belle smiles Meanwhile Donny. at the copying Belle's. camera. smile. DONBELLEx Boy Abunda. Benjamin Pavard has not had a good game at all... Pavard wants to wrap this stinker with a red card.</t>
  </si>
  <si>
    <t>Giroud for Benzema</t>
  </si>
  <si>
    <t>[["griezmann", 0.32368005406387834], ["sent", 0.20800770531362142], ["hungri", 0.20800770531362142], ["llori", 0.20800770531362142], ["ff", 0.20800770531362142], ["equalis", 0.20800770531362142], ["danc", 0.20800770531362142], ["shit", 0.20800770531362142], ["rout", 0.20800770531362142], ["fast", 0.20800770531362142], ["grizou", 0.20800770531362142], ["bring", 0.20800770531362142], ["griezman", 0.20800770531362142], ["fiola", 0.20800770531362142], ["back", 0.20800770531362142], ["assist", 0.20800770531362142], ["differ", 0.20800770531362142], ["class", 0.20800770531362142], ["though", 0.20800770531362142], ["lol", 0.20800770531362142], ["celebr", 0.17287889751047497], ["bell", 0.15234800519855715], ["donni", 0.14162376489085005]]</t>
  </si>
  <si>
    <t>That ball by lloris and the work by mbappe class. I was about to shit on griezmann but he scored well done. Griezmann how you celebrating like that 😂😂😂😂 it’s a equaliser. Griezmann has had such a shitty game then he scored a tap in and starts dancing lol.</t>
  </si>
  <si>
    <t>Lovrencsics for Kleinheisler</t>
  </si>
  <si>
    <t>[["dey", 0.31622776601683794], ["pace", 0.31622776601683794], ["fuck", 0.31622776601683794], ["hungaryv", 0.31622776601683794], ["beauti", 0.31622776601683794], ["fraud", 0.31622776601683794], ["bounc", 0.31622776601683794], ["equal", 0.31622776601683794], ["ousman", 0.2599780034626065], ["hugo", 0.2578640468208988], ["llori", 0.18304680646531174], ["dembel", 0.18003176862875322]]</t>
  </si>
  <si>
    <t>Benzema no dey play anything but he still dey pitch top tsw. Why is that Hungarian central defender letting that ball bounce off the Lloris punt? Defending 101: get your head on that ball; never let it bounce. Ousmane Dembele, good to see you back in action #hunfra.</t>
  </si>
  <si>
    <t>Lemar for Dembélé</t>
  </si>
  <si>
    <t>[["pogba", 0.8164965809277259], ["dembel", 0.40824829046386296], ["deprem", 0.17635209461917065], ["taehyung", 0.17635209461917065], ["mick", 0.17635209461917065], ["jimin", 0.17630999209691237], ["light", 0.13402668996838135], ["honfra", 0.11628868725683068], ["happi", 0.10389926427048936]]</t>
  </si>
  <si>
    <t>Dembele x Mbappe clinic 🇫🇷. It was pogba’s goal. Let your customers have the best purchase experience with the right sales funnel. Check below link to follow steps:. #deprem. #HONFRA. #おかゆの梅雨ライブ. TAEHYUNG OUR HAPPINESS. Benzema. JIMIN OUR LIGHT. Mick. @fiverr.</t>
  </si>
  <si>
    <t>[["dembel", 0.7071067811865476], ["deschamp", 0.5098135689241429], ["didier", 0.48998992330539637]]</t>
  </si>
  <si>
    <t>I love didier deschamps man EURO 2020. Look at Dembele here. Deschamps to Mbappe at HT. @thatEsselguy Dembele and Mbappe. CAR MOTO. Dembele iswho people thinks mbappe is. They used to say Dembele Mbappe. Griezmann and Dembele showing levels to Mbappe and Benzema✍️. Euro 2020.</t>
  </si>
  <si>
    <t>[["sallai", 0.5773502691896257], ["tolisso", 0.28867513459481287], ["fuck", 0.28867513459481287], ["deschamp", 0.28867513459481287], ["incom", 0.28867513459481287], ["winner", 0.28867513459481287], ["sub", 0.28867513459481287], ["honfra", 0.28867513459481287], ["mon", 0.2455268613107483], ["gar", 0.15182191445317067]]</t>
  </si>
  <si>
    <t>Fuck it Mbappe down there just has to be the move. Giroud and Tolisso in now, big impact from them incoming. Deschamps has always been a Benzema fan on the low. Giroud to come on and score the winner 🕯 🕯. France need a goal and they sub on Tolisso for Pogba 😭😭.</t>
  </si>
  <si>
    <t>[["stinker", 0.7071067811865475], ["donni", 0.3621407538040908], ["bell", 0.31691944636890296], ["boy", 0.2781866471337161], ["tito", 0.2597374763273969], ["donbellex", 0.2064261308420833], ["abunda", 0.2064261308420833], ["lang", 0.195809286567679]]</t>
  </si>
  <si>
    <t>Tito boy: Donny are you into belle? Donny at the back of his mind: "wait lang tito boy iniistress mo ko agad." DONBELLEx Boy Abunda. This is the pogba I know proper stinker 🤣. Ngl this has been a Benzema stinker. @toocheis Benzema stinker tbf. But shouldn’t take pogs off.</t>
  </si>
  <si>
    <t>[["ousman", 0.8461531227424253], ["dembel", 0.5329398585893557]]</t>
  </si>
  <si>
    <t>Ousmane Dembele is fucking horrible. Ousmane dembele turn the ball over every possession challenge. Ousmane Dembele paaa wey he lose all en dribbling so? Ousmane Dembele either plays world class or Sunday league football, nothing in between.</t>
  </si>
  <si>
    <t>[["hook", 0.408248290463863], ["gulacsi", 0.408248290463863], ["tolisso", 0.408248290463863], ["finish", 0.408248290463863], ["miss", 0.359449482162573], ["assist", 0.28359934724984337], ["rob", 0.2508532031916899], ["mbapp", 0.19355292929771115], ["merci", 0.15267857529659534]]</t>
  </si>
  <si>
    <t>@chisenga_cb Deschamps took long. Should have been hooked at HT. @dannydoes Lol seeing Tolisso now I can never forget when u wanted tolisso bakayoko pivot and bin Kante. 😂😂😂. What a good one two from giroud to mbappe, mbappe should have finished that.</t>
  </si>
  <si>
    <t>[["shouldv", 0.7071067811865475], ["touch", 0.7071067811865475]]</t>
  </si>
  <si>
    <t>Mbappe should’ve scored there. Mbappe is a weirdo should’ve squared it to Giroud. Giroud what a touch. Tolisso should’ve started. Mbappe should’ve passed to giroud, but didn’t. Love to see. Fool that ball should’ve been laid for Giroud. Mbappe that's was all some touch lad 😂.</t>
  </si>
  <si>
    <t>[["michel", 0.7083976674562409], ["platini", 0.7058135339751974]]</t>
  </si>
  <si>
    <t>Only Michel Platini (9) has scored more European Championship goals than Antoine Griezmann (7) for #FRA. Two away from tying him. 🇫🇷. Only Cristiano Ronaldo and Michel Platini have scored more European Championship goals than Antoine Griezmann 🥉. #FRA | #ITVFootball | Euro 2020.</t>
  </si>
  <si>
    <t>[["dembel", 0.5322402349443787], ["lemar", 0.35325967179311935], ["deschamp", 0.35325967179311935], ["kart", 0.35325967179311935], ["sub", 0.35325967179311935], ["injur", 0.35325967179311935], ["ousman", 0.3045625612734443]]</t>
  </si>
  <si>
    <t>Lemar is about to come on, if there's any justice... Ousmane Dembele injured himself coming off the bench also. 😭. This guy is really not going to have a good football career, unfortunately. Dembele asking Deschamps why he subbed him on just to take him off.</t>
  </si>
  <si>
    <t>[["stinker", 0.7071067811865476], ["throw", 0.5948754758766664], ["bottl", 0.3822606024697152]]</t>
  </si>
  <si>
    <t>Valverde and Benzema stinker in the same day. All that Benzema gas only for him to drop these stinkers. No one is talking about this Kante stinker. Ballon d'or? 🤣😭😭. France fans, what are they doing throwing bottles 🤮 EURO 2020. Stop throwing sh*t on the pitch lol. #HUNFRA.</t>
  </si>
  <si>
    <t>[["header", 0.5], ["dive", 0.5], ["penalti", 0.5], ["pen", 0.5]]</t>
  </si>
  <si>
    <t>This has a Giroud header all over it. Kante with a classy dive 🔥. Kante diving ??? wow.. they really are desperate 🤷‍♂️🤷‍♂️. If this is a pen INSHALLAH Mbappe takes it. That's got to be a pen.... #FRA EURO 2020. Give the pen to giroud. That has to be a penalty EURO 2020.</t>
  </si>
  <si>
    <t>[["dey", 0.3333333333333333], ["varan", 0.3333333333333333], ["result", 0.3333333333333333], ["fuck", 0.3333333333333333], ["header", 0.3333333333333333], ["champion", 0.3333333333333333], ["celebr", 0.3333333333333333], ["drew", 0.3333333333333333], ["deserv", 0.29248479043552844], ["point", 0.15988670512270906]]</t>
  </si>
  <si>
    <t>Well that result has made me feel it bit better about yesterday’s result. #HUNFRA. Varane is a trash can what in the fuck was that header. Ireland drew with Hungary a few weeks ago. Hungary drew with France today. So Ireland are as good as the World Champions 🤷🏻‍♂️ 🇮🇪 Euro 2020.</t>
  </si>
  <si>
    <t>[["offsid", 0.8009360076964174], ["save", 0.4125761588368204], ["anyway", 0.3575452694268919], ["doubl", 0.2458532184967899]]</t>
  </si>
  <si>
    <t>Griezmann what are you doing?? He had the entire goal and he kicks it right back into the keeper. Maybe offsides anyways. That finish by Griezmann was shockingly bad, idc if he was offside or not. Griezmann 😭🤣. Offside or no offside that should have been behind the net ffs.</t>
  </si>
  <si>
    <t>[["mbapp", 0.7071067811865475], ["header", 0.7071067811865475]]</t>
  </si>
  <si>
    <t>Mbappe with another free header wa o. What a ball from Lucas Digne Mbappe header just wide #HUN #FRA. Free header by Mbappe. Missed.. EURO 2020. Digne and Mbappe link up. Mbappe I NEED a goal. 8 yards out free header 200 mill mbappe get fucked. Mbappe should have scored.</t>
  </si>
  <si>
    <t>[["freekick", 0.7071067811865476], ["free", 0.5070410979393628], ["kick", 0.49285832142761427]]</t>
  </si>
  <si>
    <t>Why is mbappe taking free kicks? 😭. Thats the first time ive ever seen Mbappe take a freekick. Get pogna on freekicks why is mbappe taking them. Imagine getting subbed on and taking an Mbappe freekick to the dome 20 seconds later. I'd retire. Why is Mbappe on free kick duty 😭.</t>
  </si>
  <si>
    <t>[["assist", 0.5149113634503429], ["rob", 0.33396548110857854], ["ff", 0.33008996185357414], ["touch", 0.33008996185357414], ["miss", 0.33008996185357414], ["though", 0.33008996185357414], ["benzema", 0.31729021576622735], ["target", 0.2324740807460136], ["hit", 0.18104843084645952]]</t>
  </si>
  <si>
    <t>Why is Giroud not warming up? Get Benzema out ffs. The ball from Griezmann to start it off though, even better. Benzema had to mess it all up though... That was easier to score than to miss and Benzema still missed it 😂. Mbappe was robbed of what been the best assist in the euros.</t>
  </si>
  <si>
    <t>[["ff", 0.8944271909999159], ["wouldv", 0.4472135954999579]]</t>
  </si>
  <si>
    <t>Waiting for the “Giroud would’ve scored this” tweets. Bring on giroud ffs. These lot struggling to score against hungry. Mbappe is so good ffs. Benzema reeks for France man, get Giroud on ffs. Benzema has been awful, again. FFS. Benzema is having a mare this half ffs.</t>
  </si>
  <si>
    <t>[["wow", 0.5000000000000001], ["lead", 0.5000000000000001], ["ff", 0.5000000000000001], ["near", 0.3509515408146967], ["llori", 0.2935497655687472], ["post", 0.20164709552662516]]</t>
  </si>
  <si>
    <t>Wow. Hungary have just taken the lead against France. 🤯 1-0. Euro 2020. And #Hun take the lead here. 1-0. The atmosphere right now in the crowd. 🔥. Lloris shouldn’t be getting beaten at his near post like that. Hungary lead the world champions! 60,000 fans go mad in Budapest!</t>
  </si>
  <si>
    <t>[["conced", 0.5773502691896256], ["yellow", 0.5773502691896256], ["dribbl", 0.49318851118230156], ["kant", 0.30016399812622124]]</t>
  </si>
  <si>
    <t>Hungary should attack that Pavard side, he is on a yellow. France conceded 🤦‍♂️#HUNFRA. We have a game boi. Pavard on yellow cannot make any challenge. Varane should have had a yellow card early in the match too. not a good match from him. Kante trying to dribble 😭.</t>
  </si>
  <si>
    <t>[["troll", 0.7071067811865475], ["tudn", 0.5120557829379555], ["usa", 0.4876462602745941]]</t>
  </si>
  <si>
    <t>Troll Football Giroud is clear tho 💯. B/R Football TUDN USA Kimpembe needed to come across ffs. B/R Football TUDN USA wtf was Pavard doing there. B/R Football TUDN USA The atmosphere inside the Puskas Arena is lethal🔥👌👏. Troll Football Giroud is better than Benzema in France.</t>
  </si>
  <si>
    <t>The UEFA official loving the Hungary goal celebrations there... #HUNFRA. Best celebration #HUNFRA. #HUN Goal Celebration 😳😂. Well she wasn’t expecting that goal celebration 😂 #HUNFRA. The goal celebration though🔥🔥#HUNFRA. That goal celebration for Hungary😂#HUNFRA EURO 2020.</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</si>
  <si>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</si>
  <si>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BEST PLAYER IN FRANCE HISTORY POGBA. Pogba is some player. Pogba balling again. Pogba and Mbappe are balling. Pogba for France is a different player ❄️ ❄️. Pogba is such a lovely player for France yc.</t>
  </si>
  <si>
    <t>[["rabiot", 1.0]]</t>
  </si>
  <si>
    <t>Take off Rabiot and F1. They need to take Rabiot off, e no sabi. Take Rabiot off. Big fool. Rabiot is not great at football. How is Rabiot a professional Player?? Rabiot is such a waste of a player. Rabiot needs to come off NOW! Rabiot is stealing a living. Rabiot out France win.</t>
  </si>
  <si>
    <t>[["sub", 0.697559073742398], ["deschamp", 0.5398683058642221], ["dembooti", 0.4711194657015803]]</t>
  </si>
  <si>
    <t>Does Deschamps know he can make 5 subs ? #FRA EURO 2020. Deschamps making an attacking sub? Wow. France need a goal and Deschamps subs on Dembooty 💀. Good sub that #HUNFRA.</t>
  </si>
  <si>
    <t>[["ousman", 0.8746014807822551], ["dembel", 0.484842500007463]]</t>
  </si>
  <si>
    <t>Have always liked Ousmane Dembele. What a player. France needs goals and they bring on Ousmane Dembele???? An injury free season for Ousmane Dembele 🕯🙏🏿. Ousmane dembele gonna save these lot. Ousmane Dembele agains the post. Ousmane Dembele fake shot so OP.</t>
  </si>
  <si>
    <t>[["ff", 0.4472135954999579], ["assist", 0.4472135954999579], ["equalis", 0.4472135954999579], ["llori", 0.4472135954999579], ["duboi", 0.3176451779414476], ["clear", 0.3148039722280296]]</t>
  </si>
  <si>
    <t>Dubois Giroud is miles clear of that sex tape fraud. Griezmann how you celebrating like that 😂😂😂😂 it’s a equaliser. Lloris just set up a goal in a critical situation? That is not Lloris im sorry. Can't believe that's not gone down as an mbappe assist.</t>
  </si>
  <si>
    <t>[["griezmann", 0.5188924029201677], ["griezman", 0.41679523399596663], ["bounc", 0.41679523399596663], ["poor", 0.3460030290977338], ["equal", 0.2898110095800789], ["antoin", 0.2729714966998814], ["defend", 0.23237936856989985], ["level", 0.2260354256794247]]</t>
  </si>
  <si>
    <t>See what happens when Mbappe can pass the ball!!! Griezman. Antoine Griezmann scores and it’s 1-1. France 🇫🇷 back in the game. EURO 2020 #France. Defenders dem fe neva mek that ball bounce from LLoris kicked it out, poor defending. Griezmann scores but the goal is not nice 😐.</t>
  </si>
  <si>
    <t>[["assist", 0.4822416100789527], ["fantasi", 0.38602654825651816], ["tip", 0.34413156430298186], ["jimin", 0.30448681669671873], ["deprem", 0.30448681669671873], ["taehyung", 0.30448681669671873], ["mick", 0.30448681669671873], ["light", 0.2356563844060096], ["honfra", 0.2033239564325028], ["happi", 0.17965675901817862]]</t>
  </si>
  <si>
    <t>Let your customers have the best purchase experience with the right sales funnel. Check below link to follow steps:. #deprem. #HONFRA. #おかゆの梅雨ライブ. TAEHYUNG OUR HAPPINESS. Benzema. JIMIN OUR LIGHT. Mick. Fiverr. Euro 2020 Fantasy Football Updates &amp; Tips Give mbappe assist 🗑.</t>
  </si>
  <si>
    <t>[["sub", 0.5773502691896256], ["hook", 0.5773502691896256], ["sallai", 0.5040227290131114], ["roland", 0.281592652552422]]</t>
  </si>
  <si>
    <t>Roland Sallai is the most fouled player in the match (6 times). #HUN. Sub put Pogba means you are settled with the on going. France need a winner, Benzema and Pogba hooked 👀 Say it ain't so. Very good Subs from #FRA now go on and win the game..</t>
  </si>
  <si>
    <t>[["bring", 0.8321204766658302], ["need", 0.5545949083010334]]</t>
  </si>
  <si>
    <t>France need a goal and they bring on Giroud 😂😂🤣🤣. B/R Football Now Bring Giroud on.. we need some goals. France need a goal and bring on Olivier Giroud 😹😹😹. France need a goal and they bring on Giroud! #HUNFRA EURO 2020. 𝐀𝐅𝐂 𝐀𝐉𝐀𝐗 💎 They need goals. And he brings Tolisso on.</t>
  </si>
  <si>
    <t>[["touch", 0.7071067811865475], ["assist", 0.5467142952425051], ["rob", 0.4484456258873431]]</t>
  </si>
  <si>
    <t>Look at the touch from Giroud. Giroud robbed of an assist. Merci Kylian. Giroud's subtle touches should be appreciated. Mbappe that's was all some touch lad 😂. Mbappe robbing Giroud of an assist 😪. Giroud close to an assist after being on the pitch for 3 minutes‼️‼️.</t>
  </si>
  <si>
    <t>[["lemar", 0.7071067811865475], ["michel", 0.33429980584914754], ["platini", 0.3231937486487161], ["championship", 0.3191319453052791], ["antoin", 0.3113490309511462], ["european", 0.2915579240135025]]</t>
  </si>
  <si>
    <t>Most goals in European Championship history: 🇵🇹 Cristiano Ronaldo - 11. 🇫🇷 Michel Platini - 9. 🇫🇷 Antoine Griezmann - 7. EURO 2020 🔥. Bringing on no end product Lemar? Deschamps don’t really wanna win. Euro 2020 live score: Lemar comes on for Dembele; Hungary 1-1 France.</t>
  </si>
  <si>
    <t>[["sub", 0.8516938880102835], ["ousman", 0.4430458518621722], ["dembel", 0.27987121015504435]]</t>
  </si>
  <si>
    <t>57' Ousmane Dembele is subbed on. 87' Ousmane Dembele is subbed off.. A sub-sub in the second group game is a major red flag for all France to win the tournament bets Euro 2020. Dembele came in as a sub and now he's getting subbed? Euro 2020.</t>
  </si>
  <si>
    <t>[["dive", 0.5773502691896257], ["penalti", 0.5773502691896257], ["pen", 0.5773502691896257]]</t>
  </si>
  <si>
    <t>Crying kante dived😭😭. What a cheat Kante is, took a dive to get that free kick 🤡 #hun #fra. If this is a pen INSHALLAH Mbappe takes it. That's got to be a pen.... #FRA EURO 2020. That’s a pen. #HUNFRA. Give the pen to giroud. That has to be a penalty EURO 2020.</t>
  </si>
  <si>
    <t>[["varan", 0.5773502691896256], ["sub", 0.5773502691896256], ["rugbi", 0.48607504089364056], ["tackl", 0.3115515815295742]]</t>
  </si>
  <si>
    <t>VARANE WHAT A PLAYER! I don’t like the phrase he has to score, but varane has to score there. Subbing for pogba was a mistake. Rugby tackled Kimpembe?😂. Pogba subbed off because he is a liability? We are clear. France needs a goal and they sub off Pogba? Good luck with that.</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</si>
  <si>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</si>
  <si>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</si>
  <si>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</si>
  <si>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 YELLOW SIUUUU. Pavard’s looking to get a red card. Pavard is gonna get cooked after that yellow on that flank. 📸 - Pavard on a yellow card already, within 10 minutes..</t>
  </si>
  <si>
    <t>[["offsid", 0.890075102199083], ["griezmann", 0.34513314413987584], ["save", 0.29774053345390405]]</t>
  </si>
  <si>
    <t>Griezmann is lucky he’s offside how the fuck did he miss😂😂😂😂😂. Griezmann eh score that wtf lmao even if it offside. Offside but Griezmann has to find the back of the net there. Griezmann’s blushes saved by that offside because that was an absolutely terrible finish.</t>
  </si>
  <si>
    <t>[["kant", 0.632680144500135], ["dign", 0.49864588718996833], ["mbapp", 0.40020487512213837], ["world", 0.32980859920291], ["cross", 0.2329562562142384], ["score", 0.1669186701802758]]</t>
  </si>
  <si>
    <t>Kante what a run! Hand him the ball on d'or asap! Grieman is crazy... so this is what Braça fans face 😂 that pass from Kante. Kante is the best player in the world at the moment. No cap. Digne's crosses are so good. Mbappe should have done better with that.</t>
  </si>
  <si>
    <t>[["mbapp", 1.0]]</t>
  </si>
  <si>
    <t>Mbappe with another free header wa o. Mbappe ffs. Digne and Mbappe link up. 8 yards out free header 200 mill mbappe get fucked. Quase gol do mbappe. We’ve only made one 100m+ signing in 7 years ffs. Wake up Real Madrid C.F. sancho haaland and mbappe are all available.</t>
  </si>
  <si>
    <t>[["mbapp", 0.7500085888527982], ["freekick", 0.44877933127783853], ["free", 0.42832678065585933], ["kick", 0.22939136304106453]]</t>
  </si>
  <si>
    <t>Why is mbappe taking free kicks? 😭. Why did mbappe take it shud have been griezmann. Get pogna on freekicks why is mbappe taking them. That must’ve hurt bro getting a shot from mbappe to the face😭😭😭. Can these Hungary players stop getting shot in the head I wanna watch Mbappe.</t>
  </si>
  <si>
    <t>[["benzema", 0.8411141180848294], ["giroud", 0.3191332505095261], ["mbapp", 0.1915190840178606], ["player", 0.18972281153380469], ["striker", 0.18877371805370324], ["ff", 0.18509682506028932], ["piss", 0.16277749197041408], ["class", 0.1470164645571202]]</t>
  </si>
  <si>
    <t>Smh look at this pipe of a striker called benzema. Benzema isn’t even half the player giroud is for France. Benzema and mbappe doing everything they can to not score, just need 1 goal each ffs. Benzema is just running and playing passes into the Hungary players man😂😂😂.</t>
  </si>
  <si>
    <t>[["target", 0.5987560600157869], ["mbapp", 0.4699375314923442], ["harri", 0.44564695446122715], ["shot", 0.3574543728915875], ["hasnt", 0.19145967348714302], ["reason", 0.17246639044886203], ["benzema", 0.16695387974858591]]</t>
  </si>
  <si>
    <t>Mbappe hasn’t downloaded free kick juice yet. He’s getting excited🤣. Master class final pass from Mbappe, very poor delivery from Benzema.. EURO 2020. Benzema shot wide, how did he miss that? 🇫🇷. Mbappe is the best footballer in the world man.</t>
  </si>
  <si>
    <t>[["peep", 0.6661294607901976], ["creativ", 0.5533285358083833], ["bring", 0.24330418160149686], ["win", 0.2060037848174704], ["giroud", 0.20453972158797135], ["poor", 0.20050362158697177], ["pitch", 0.18695646145285155], ["touch", 0.17740820253828854]]</t>
  </si>
  <si>
    <t>Mbappe is winning atleast 5 ballon d'Ors. France are winning rn if Giroud is on the pitch. Bring Lemar or Tolisso on for Rabiot, he's not a footballer. 📸 - Another good chance for France to score but Benzema with a poor pass..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</si>
  <si>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</si>
  <si>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</si>
  <si>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[["major", 0.5526948892679924], ["futur", 0.5080762243037846], ["move", 0.484492336119505], ["soccer", 0.4490591118279603]]</t>
  </si>
  <si>
    <t>Griezmann wants an Major League Soccer move in the future 👀.</t>
  </si>
  <si>
    <t>[["unseri", 0.429694994237696], ["champion", 0.42070171542247975], ["job", 0.4023812784438825], ["win", 0.39912110095089703], ["lead", 0.3407216401953296], ["gol", 0.1703608200976648], ["varan", 0.1703608200976648], ["fiola", 0.1496388581944548], ["near", 0.13717789108544806], ["sleep", 0.13717789108544806], ["world", 0.13655990937509166], ["touch", 0.13010338445351624], ["stuff", 0.12966878055451247], ["didier", 0.12735851692089145], ["ff", 0.11995856989205893]]</t>
  </si>
  <si>
    <t>Oh my word !! #Hun has taken the lead !! Fiola has turned the script upside down. What a story this would be if the Hungarians win this! Lloris gets beat at his near post, Pavard ball watching, Varane sleeping at his job. Very unserious stuff all around.</t>
  </si>
  <si>
    <t>[["llori", 0.6229127317124536], ["behind", 0.5474673977265844], ["drill", 0.4998073045460706], ["near", 0.2499036522730353]]</t>
  </si>
  <si>
    <t>Hows Lloris been beaten at his near post like that. Lloris is not a very good keeper is he #HUNFRA. Also, Lloris is a very very average goalkeeper. That’s not on Lloris. Defenders left him one on one. The World Champions are behind! This is not a drill. 😬. EURO 2020 #HUN.</t>
  </si>
  <si>
    <t>[["dribbl", 0.7798638949546419], ["giroud", 0.6259491236084409]]</t>
  </si>
  <si>
    <t>Lol kante dribbling 😂🤦🏾‍♂️. Giroud is Frances best player 👍. Kante Trying To Dribble His Way Outta Pressure. Dude If You Don’t Go Tackle. Kante not having a good game. Forcing dribbles and it is not quite working for him. Kante trying to dribble 😭. Giroud would’ve saved that goal.</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</si>
  <si>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</si>
  <si>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</si>
  <si>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0.8196807807302021], ["itw", 0.3855171437368369], ["sei", 0.21534322806307366], ["kwasia", 0.21534322806307366], ["champion", 0.17675448792617024], ["giroud", 0.17552572998535576], ["2018", 0.15717222067634268]]</t>
  </si>
  <si>
    <t>Chelsea fans are saying Giroud over Benzema forgetting Giroud played 2018 World Cup and got 0 shots on target. Kwasia player sei. 🇭🇺 When you score against the world champions... 🥳 Scenes in Budapest!. EURO 2020.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</si>
  <si>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</si>
  <si>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</si>
  <si>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0.6243280193559876], ["mood", 0.5709433544249672], ["lead", 0.5331399537504162]]</t>
  </si>
  <si>
    <t>Hungary lead at half-time. 🇭🇺1-0 🇫🇷 #HUNFRA Fiersdetre Bleus. #HUN strike first and lead #FRA 1-0 at halftime💥. (🎥: TUDN USA). A shocker in the making? #HUN leads #FRA!. (via ESPN FC). #HUN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</si>
  <si>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</si>
  <si>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</si>
  <si>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[["duck", 0.8100118654370518], ["unbeaten", 0.4731195671136654], ["hungari", 0.34646594791604723]]</t>
  </si>
  <si>
    <t>Hungary will win this. #HUN. I just turned the football on for the second half. Buzzing for Hungary!!! EURO 2020. 🇭🇺 Hungary are unbeaten against France at EURO finals (W3 D1) 💪. EURO 2020. Antoine Griezmann taking a photo of a duck #FRA.</t>
  </si>
  <si>
    <t>[["stood", 0.8185971419459963], ["rabiot", 0.4267331114000397], ["pass", 0.3844444964265817]]</t>
  </si>
  <si>
    <t>Rabiot out France win. Finally, Rabiot off!. Phew! 😒. 🇭🇺🆚🇫🇷 Which players have stood out?. EURO 2020. Benzema with his 200th misplaced pass of the tournament. Benjamin Pavard’s name just invites a pass at a French accent, delightful. Just pass the ball Sterling EURO 2020..</t>
  </si>
  <si>
    <t>[["defend", 1.0]]</t>
  </si>
  <si>
    <t>I hope Chelsea FC is watching how terrible Varane is as a defender. Don't wanna see him anywhere close to our great club. EURO 2020. Love how #HUN defend!!! Varane, Kimpembe and Pavard are useless and overrated defenders ☺.</t>
  </si>
  <si>
    <t>[["greizmann", 0.4810524736288966], ["chaotic", 0.393111708362672], ["let", 0.37354976180970906], ["fulli", 0.3550891304268315], ["sexi", 0.3550891304268315], ["invert", 0.29916787948845996], ["varan", 0.2544889761155872], ["dembel", 0.1474641129643653], ["knee", 0.14492542325059726], ["giroud", 0.11971375976014666], ["ass", 0.10482943501908575]]</t>
  </si>
  <si>
    <t>Dembele given the ball⚽️ away on two occasions since coming on EURO 2020. Varane’s inverted knees is kicking his ass. Very few ppl make it to pro football with inverted knees. Take Greizmann off for Giroud, let’s see big sexy and Benzema together, let’s get fully chaotic.</t>
  </si>
  <si>
    <t>[["assist", 0.5655382790348742], ["gol", 0.4734735947056962], ["llori", 0.3655420927149859], ["mbapp", 0.29409721996004917], ["final", 0.27147514924481314], ["dribbl", 0.18277104637897987], ["bring", 0.1732307985169932], ["red", 0.1681166010642404], ["yellow", 0.1597788489650547], ["equalis", 0.15083389388366328], ["pavard", 0.14905957348376872]]</t>
  </si>
  <si>
    <t>Pavard might see red this game he needs to come off. That ball by lloris and the work by mbappe class. Griezmann how you celebrating like that 😂😂😂😂 it’s a equaliser. That better count as an Mbappe assist coz there was a deflection.</t>
  </si>
  <si>
    <t>[["griezmann", 0.7426761823593213], ["quintupl", 0.5545379604599266], ["newcastl", 0.28792749067539347], ["mbapp", 0.2408682184899043]]</t>
  </si>
  <si>
    <t>Griezmann getting an equaliser in a Euros game against an underdog. Superb distribution from lloris. Griezmann with a good finish after a good assist from Mbappe who has been Frances best player today. They should take that goal off griezmann just because of that celebration ffs.</t>
  </si>
  <si>
    <t>[["might", 0.6217001311606332], ["realli", 0.5597444958276634], ["debat", 0.5478823288859448]]</t>
  </si>
  <si>
    <t>Mbappe really doing well. France might win this game. Antoine Griezmann is the best International player of the last 5 years and it's not up for debate..</t>
  </si>
  <si>
    <t>[["touch", 0.7954996623166262], ["antoin", 0.60595403064435]]</t>
  </si>
  <si>
    <t>Nah i’m crying when that guy tried to touch pogba 🤣. POGBA: Don’t touch me 😂. Peep the touch and creativity from Mbappe, class.. Benzema every time he touches the ball. 🇫🇷 Antoine Griezmann has now scored 38 goals for France in 93 games ⚽️. EURO 2020.</t>
  </si>
  <si>
    <t>[["pogba", 0.787462413699292], ["giroud", 0.4982707527713495], ["sallai", 0.3628073923496567]]</t>
  </si>
  <si>
    <t>Every time pogba wins the ball, he loses it lol. Is this the same Paul Pogba that plays for Manchester United in the premier league? 😳🙄. Roland Sallai is the most fouled player in the match (6 times). #HUN. Giroud finally coming on about 75 minutes to late EURO 2020.</t>
  </si>
  <si>
    <t>[["giroud", 0.6996881229221338], ["sub", 0.612878681368683], ["wake", 0.36717332768800826]]</t>
  </si>
  <si>
    <t>France need a goal then they bring in giroud 🤣🤣. Pogba subbed off. That's been coming – very disappointing today. Giroud to score the winning assist or goal, let's go! The beef between giroud and mbappe means they won’t pass to each other but only pass to Griezemann.</t>
  </si>
  <si>
    <t>[["giroud", 1.0]]</t>
  </si>
  <si>
    <t>On my knees for a Giroud goal 🤞. How are you bringing on Giroud but taking off Pogba ?¿ 😞. Chelsea fans are saying Giroud over Benzema forgetting Giroud played 2018 World Cup and got 0 shots on target. Kwasia player sei.</t>
  </si>
  <si>
    <t>[["mbapp", 0.7237306452695424], ["save", 0.6462482166856215], ["gulacsi", 0.24202726195283314]]</t>
  </si>
  <si>
    <t>Hmmm good save from Mbappe but not sure why Giroud isn't trying to get a tap in there? Gulacsi and Pickford have been my goalkeepers of the tournament so far. Raw finish from Mbappe, has to find the corner there. Love to know how many shots Mbappe has had in these two games.</t>
  </si>
  <si>
    <t>[["keeper", 0.7121926631355344], ["might", 0.7019840529356169]]</t>
  </si>
  <si>
    <t>Mbappe just might be a good footballer. The hungary keeper looks like gay evil peter cech. #HUNFRA. Gulacsi is a decent keeper tbf.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</si>
  <si>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</si>
  <si>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</si>
  <si>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[["form", 0.5560886148471554], ["werey", 0.43635278664891197], ["nah", 0.43635278664891197], ["wan", 0.23462841186337516], ["kant", 0.23362701510056783], ["sub", 0.2187443072147965], ["ask", 0.218244572257323], ["deschamp", 0.19583769613083152], ["dembel", 0.18371296122830777], ["return", 0.1809509578828782]]</t>
  </si>
  <si>
    <t>Ousmane "Dembouz" Dembele VS Hongria | Young french player | Double foot | HD.. Kante’s been smiling so well how are they not winning. Dembele asking Deschamps why he subbed him on just to take him off. Mbappe nah werey. Giroud give you ball, return am, you wan form match winner..</t>
  </si>
  <si>
    <t>[["wait", 0.5211175180254971], ["penalti", 0.51881293636755], ["kimpemb", 0.5114360970203896], ["pen", 0.4446378168005695]]</t>
  </si>
  <si>
    <t>Looks a foul on kimpembe , should be a Pen for #FRA. Penalty to France no? Kimpembe rugby tackled 😂. "Don't pass it to Benzema.." Oh wait that's me.. They want to give #fra a penalty 🤣🤣🤣. That's a penalty for the attempted undressing of Kimpembe.</t>
  </si>
  <si>
    <t>[["world", 0.6793346560442214], ["point", 0.38174958148783955], ["level", 0.28636684942866264], ["deschamp", 0.2704801445004661], ["champion", 0.26797508030848766], ["bare", 0.2565985256669809], ["finish", 0.13933538288243283], ["final", 0.1392381564735521], ["hun", 0.1377597269613239], ["cup", 0.12002279295539389], ["touch", 0.1185808350689565], ["cross", 0.117074819160947]]</t>
  </si>
  <si>
    <t>That was a fabulous match. Fair play to Hungary for holding the world champions to a point! euro 2020. Varane always gets in the end of crosses and set pieces and barely scores. Next time start Giroud if you want to win, as we saw in the World Cup.</t>
  </si>
  <si>
    <t>[["fiola", 0.5295128750813524], ["equalis", 0.5093543133330184], ["strike", 0.4662736851583445], ["net", 0.41853063348652414], ["hungri", 0.25999088055998293]]</t>
  </si>
  <si>
    <t>And Hungry were hungry enough to take the draw. This french team can't covert but good job to the Hungarians. #HUNFRA. Euro 2021. ⏰ RESULT ⏰. 🇭🇺 Fiola strikes just before break. 🇫🇷 Griezmann nets second-half equaliser. 🤔 Who impressed you?. EURO 2020.</t>
  </si>
  <si>
    <t>[["believ", 0.7071067811865475], ["delay", 0.7071067811865475]]</t>
  </si>
  <si>
    <t>Cab't believe that the Real Sociedad - Athletic Bilbao Copa del Rey final is not being covered on British TV. Can't believe the Copa del Rey final isn't on UK TV. WE ARE OFF!!! The delayed 2020 Copa del Rey Final. Athletic Club v Real Sociedad.</t>
  </si>
  <si>
    <t>[["let", 0.6764608318913068], ["support", 0.360367090821636], ["instead", 0.360367090821636], ["fuck", 0.3124188759814496], ["bad", 0.3124188759814496], ["sociedad", 0.29573764468426755]]</t>
  </si>
  <si>
    <t>Both teams so bad might fuck around and watch the copa del rey final. Who are we supporting in tonight's Copa Del Rey final? Athletic Bilbao or Real Sociedad?? Let me go and watch last year's Copa Del Rey final instead. Let’s see how Bilbao does during this final.</t>
  </si>
  <si>
    <t>[["today", 1.0]]</t>
  </si>
  <si>
    <t>Oh its copa del rey finale today 😳.</t>
  </si>
  <si>
    <t>[["run", 0.47388311346379997], ["get", 0.47388311346379997], ["hero", 0.4709512593821664], ["fifa", 0.41460087602566026], ["card", 0.3964601044655274]]</t>
  </si>
  <si>
    <t>Will the hero of the copa del rey final being played tonight get a card in fifa 20? The 2019-2020 Copa Del Rey final is up and running. It's the Basque Derby. Athletic Bilbao Vs Real Sociedad. Bilbao vs Sociedad Copa Del Rey Final, let’s get it!</t>
  </si>
  <si>
    <t>[["basquecountri", 0.3662123308935636], ["sevil", 0.3662123308935636], ["ironi", 0.3662123308935636], ["see", 0.3662123308935636], ["piss", 0.35192341219988305], ["mud", 0.3470663893170455], ["inshallah", 0.3470663893170455], ["lol", 0.3143149210019497]]</t>
  </si>
  <si>
    <t>Sociedad to beat Bilbao Inshallah. Them they lose against us again. 2 cup finals in the mud. 🙏🏾. Let’s see how Bilbao does during this final. Loool its absolutely pissing down in the Copa del Rey final now 😂.</t>
  </si>
  <si>
    <t>[["postpon", 0.7790368115230177], ["kick", 0.6269781864563152]]</t>
  </si>
  <si>
    <t>Athletic Club and Real Sociedad have kicked off the postponed 2020 Copa del Rey final 🙏.</t>
  </si>
  <si>
    <t>[["channel", 0.6231060036231773], ["door", 0.6016560649865983], ["behind", 0.4997488246245257]]</t>
  </si>
  <si>
    <t>Such a shame the Copa del Rey final has to be behind closed doors. What an occasion it would have been. What channel is the Copa Del Rey final on?</t>
  </si>
  <si>
    <t>[["3rd", 0.7299443930062269], ["book", 0.4086419452885763], ["fuck", 0.4086419452885763], ["around", 0.36497219650311336]]</t>
  </si>
  <si>
    <t>One for the history books. Athletic Club v Real Sociedad in the Copa Del Rey final, Saturday 3rd April 2021. Sid Lowe. What if Athletic Bilbao fuck around and win both finals?? 🤔🤔🏃🏃🏃🏃.</t>
  </si>
  <si>
    <t>[["aduriz", 0.3664146136378388], ["bang", 0.3664146136378388], ["ill", 0.3664146136378388], ["hell", 0.3664146136378388], ["televis", 0.3664146136378388], ["boi", 0.35884869471572917], ["pain", 0.3205001293496342], ["fyi", 0.3117834760708974]]</t>
  </si>
  <si>
    <t>This Copa del Rey final is missing Aduriz. I really can't find the Copa Del Rey final on TV boi, pain. If Athletic Bilbao win I’ll get bang on it. Copa Del Rey final only being televised in USA like what the hell is the point in that.</t>
  </si>
  <si>
    <t>[["espn", 0.4488115084494194], ["neutral", 0.4488115084494194], ["excit", 0.4488115084494194], ["cdr", 0.4448059631176668], ["gonna", 0.4448059631176668]]</t>
  </si>
  <si>
    <t>Real Sociedad gonna win CDR tonight. ESPN+ Help What's going on with the Copa Del Rey final? Why isn't it streaming? Some exciting football in this Copa Del Rey final 🇪🇸 As a neutral, this is a very good game 😋👌.</t>
  </si>
  <si>
    <t>Transfermarkt</t>
  </si>
  <si>
    <t>[["highlight", 0.47591611764541397], ["subhuman", 0.47591611764541397], ["win", 0.45258242631476564], ["dribbl", 0.4373848737265714], ["today", 0.3884215719509714]]</t>
  </si>
  <si>
    <t>Athletic Club - Real Sociedad. Final Copa del Rey 2020. Best highlights 💫.. Isak 🥵🔥. Man can dribble too... Copa Del Rey Final. Sociedad should win the Copa final today. Subhumans in Bilbao. Final Copa Del Rey. I don’t really mind who wins but would prefer Sociedad.</t>
  </si>
  <si>
    <t>[["month", 0.525523072813749], ["amen", 0.525523072813749], ["play", 0.4837242636011468], ["wanna", 0.46223569386657953]]</t>
  </si>
  <si>
    <t>I wanna watch arsenal vs liverpool and Real Sociedad vs Bilbao but I'm playing weekend league 😣. Bilbao playing two copa del rey finals in a month. What if they win both..... Bilbao to lose both finals. Amen. 🙏.</t>
  </si>
  <si>
    <t>[["lose", 0.46849915902334466], ["announc", 0.46849915902334466], ["merino", 0.46849915902334466], ["need", 0.43125111246165665], ["everyth", 0.39439585695572393]]</t>
  </si>
  <si>
    <t>Need Bilbao to lose both finals. This ESPN copa del rey announcer sounds like he's announcing golf not football 🥱. Mikel merino wins everything.</t>
  </si>
  <si>
    <t>[["current", 0.7167315285561111], ["knot", 0.6973492066200553]]</t>
  </si>
  <si>
    <t>We are knotted at 0-0 at HT of the 2020 Copa Del Rey final between Athletic Club Real Sociedad 👀. Who takes the 🏆?. The last year Copa Del Rey final is currently being played?🥺🥺.</t>
  </si>
  <si>
    <t>Half-time. Athletic Club 0-0 Real Sociedad. Copa Del Rey Final.</t>
  </si>
  <si>
    <t>[["still", 1.0]]</t>
  </si>
  <si>
    <t>Second half of the 2020 Copa del Rey final getting underway. Still goalless between Athletic and Real Sociedad. If Sociedad win, surely Ødegaard still gets his medal right??</t>
  </si>
  <si>
    <t>[["red", 0.8545568844847345], ["inigo", 0.31367285050038857], ["merino", 0.29847023152551977], ["pass", 0.28680550017704914]]</t>
  </si>
  <si>
    <t>Penalty La Real! What a pass by Mikel Merino! Inigo takes out Portu, and is sent off! PENALTY FOR LA REAL. RED FOR INIGO MARTINEZ. Pen for me - and then has to be red. What a pass by Merino tho! Bilbao Red and la real penalty. Pen for Sociedad and a red card for Martinez. Scenes.</t>
  </si>
  <si>
    <t>[["pen", 0.4716992096820853], ["goal", 0.46122956356766365], ["penalti", 0.4541043053640995], ["watch", 0.4284874759304443], ["oyarzab", 0.4182761146623413]]</t>
  </si>
  <si>
    <t>Time to watch the Copa Del Rey final. 📸 - Penalty Real Sociedad, in the Copa del Rey Final vs Athletic Bilbao.. GOAL FOR LA REAL. OYARZABAL PEN. Goal Sociedad. 1-0. Mikel Oyarzabal back at scoring his penalties... and it's maybe the most important one he's ever scored!</t>
  </si>
  <si>
    <t>[["oryazab", 0.6706634644207811], ["convert", 0.5200169014212441], ["lead", 0.3567689930358242], ["oyarzab", 0.3268157709160248], ["rescind", 0.15116262305234748], ["yellow", 0.15116262305234748]]</t>
  </si>
  <si>
    <t>Oryazabal (pen) 1-0 Copa Del Rey and some dart music rings in the background 😂. Oyarzabal has more final goals than Thierry Henry. Goal. Real Sociedad lead 1-0. 1-0 Real Sociedad. Oryazabal converts the penalty and gives them the lead in the final!.</t>
  </si>
  <si>
    <t>Daniel Garcia</t>
  </si>
  <si>
    <t>[["foul", 0.3111769306314066], ["enjoy", 0.3111769306314066], ["averag", 0.3111769306314066], ["chilean", 0.3111769306314066], ["strongest", 0.3111769306314066], ["stink", 0.3111769306314066], ["haram", 0.2943096768446993], ["dem", 0.2943096768446993], ["lmao", 0.2943096768446993], ["suffer", 0.2862129404341682], ["anoth", 0.277922834851032]]</t>
  </si>
  <si>
    <t>... Another foul? Come on Athletic Bilbao! Strongest copa del rey fan // average Chilean Premier League enjoyer. Lmao na Barca go suffer for this thing if Bilbao loses here oo 😭😭💔. Na haram football dem go play for us. David silva stinking up in this copa del rey final.</t>
  </si>
  <si>
    <t>[["gra", 0.7071067811865475], ["captain", 0.7071067811865475]]</t>
  </si>
  <si>
    <t>Athletic Bilbao should better win now. They should not come and be using stupid gra gra for Barca next week. Oyarzabal scoring in the Copa final as captain? This is massive.</t>
  </si>
  <si>
    <t>[["kit", 0.4646777997124211], ["number", 0.4646777997124211], ["gold", 0.4646777997124211], ["massiv", 0.4321540310778755], ["cri", 0.40677576228975565]]</t>
  </si>
  <si>
    <t>Oyarzabal scoring in the Copa final as captain? This is massive. I’m crying Athletic are playing the 2020 and 2021 Copa del Rey finals a week apart and are gonna lose them both 😭. Real Sociedad are winning because they have gold numbering on their kits and Athletic don't.</t>
  </si>
  <si>
    <t>Inigo Martinez</t>
  </si>
  <si>
    <t>[["month", 0.6126635869917842], ["lose", 0.5623840612155251], ["win", 0.5553084700102215]]</t>
  </si>
  <si>
    <t>Bilbao about to lose 2 finals in the same month. Bilbao currently losing the copa Del Rey final of last season to real sociedad. How does this sound ? 😂😂. Real sociedad winning.</t>
  </si>
  <si>
    <t>Oyarzabal</t>
  </si>
  <si>
    <t>[["found", 0.7071067811865475], ["fun", 0.7071067811865475]]</t>
  </si>
  <si>
    <t>Finally found a stream for the copa del rey final. Having fun watching the copa del rey final.</t>
  </si>
  <si>
    <t>Lopez for Vencedor</t>
  </si>
  <si>
    <t>[["foul", 1.0]]</t>
  </si>
  <si>
    <t>28 fouls in the copa del rey final 💀.</t>
  </si>
  <si>
    <t>Merino</t>
  </si>
  <si>
    <t>[["lead", 0.5], ["1988", 0.5], ["david", 0.5], ["silva", 0.5]]</t>
  </si>
  <si>
    <t>Are we sure there's really no fans inside La Cartuja? Quite the racket with ten minutes to go. Real Sociedad lead 1-0 Final Copa Del Rey. David Silva leading Sociedad to first trophy since 1988, scenes.</t>
  </si>
  <si>
    <t>Villalibre for Berenguer</t>
  </si>
  <si>
    <t>[["lose", 1.0]]</t>
  </si>
  <si>
    <t>Bilbao currently losing the copa Del Rey final of last season to real sociedad. How does this sound ? 😂😂. Bilbao losing both Copa finals ahhhh.</t>
  </si>
  <si>
    <t>Vesga for Dani Garcia</t>
  </si>
  <si>
    <t>[["play", 0.4237145436438605], ["week", 0.4237145436438605], ["space", 0.4237145436438605], ["month", 0.40517500553040653], ["omoo", 0.39895686033383926], ["man", 0.3715704441960173]]</t>
  </si>
  <si>
    <t>They are playing last years Copa Del Rey final in April. Athletic Bilbao is playing in both. Omoo. Bilbao losing two finals in a month. You cannot keep playing Haram football and be expecting God don catch una😝😝😝. Athletic Bilbao could lose 2 CDR finals in the space of 2 weeks?</t>
  </si>
  <si>
    <t>Guevara for Silva</t>
  </si>
  <si>
    <t>[["penyarzab", 0.6763832829914935], ["cours", 0.6041012072244886], ["penalti", 0.30205070028094816], ["dive", 0.2938243699548312]]</t>
  </si>
  <si>
    <t>Real Sociedad have been better but they love a dive over absolutely anything and everything eh. Of course Sociedad are winning and from a penalty from Penyarzabal. LA REAL LEAD IN THE CUP FINAL! OYARZABAL'S PENALTY!.</t>
  </si>
  <si>
    <t>Fernandez for Isak</t>
  </si>
  <si>
    <t>[["inshallah", 0.45034075008286606], ["hold", 0.45034075008286606], ["cara", 0.4182931733745534], ["mode", 0.3740629798844506], ["clear", 0.3740629798844506], ["anoth", 0.3735920407313024]]</t>
  </si>
  <si>
    <t>Another Athletic Club Sub. Yuri Berchiche OFF and Ander Cara ON. Sociedad going into clear and inshallah mode, I hope this lead holds 😬.</t>
  </si>
  <si>
    <t>Barrenetxea for Portu</t>
  </si>
  <si>
    <t>[["congrat", 0.7013194910621423], ["deserv", 0.41156245838525235], ["david", 0.41156245838525235], ["silva", 0.41156245838525235]]</t>
  </si>
  <si>
    <t>Well deserved Copa win for Real Sociedad 👏🏼. David Silva comes into this team and they start seeing out finals and close games? lol not a coincidence. 💙🏆 Congrats to David Silva on winning the Copa Del Rey with Real Sociedad Fútbol.. David Silva still winning trophies.</t>
  </si>
  <si>
    <t>Capa for Berchiche</t>
  </si>
  <si>
    <t>[["look", 0.6247147847416321], ["2020", 0.5907276930086062], ["place", 0.5106586241687752]]</t>
  </si>
  <si>
    <t>David Silva has won the 2020 League Cup Final and the 2020 Copa del Rey Final, with the fixtures taking place 13 months apart. Real Sociedad are champions. Look at the players. Just look what it means.</t>
  </si>
  <si>
    <t>Elustondo for Gorosabel</t>
  </si>
  <si>
    <t>[["begun", 0.7797767059378813], ["let", 0.6260577360568809]]</t>
  </si>
  <si>
    <t>Forza Milan man, let’s fucking win for once. Parma Milan has begun. Let's do this! 👊. Sempre Milan. PUMA Football.</t>
  </si>
  <si>
    <t>[["kessi", 0.6184360497542981], ["shot", 0.564915364488715], ["corner", 0.546266860910381]]</t>
  </si>
  <si>
    <t>Come on Milan native, anibale fly and potters corner 🤞🤞🤞🐎 Grand National 2021. Powerful shot from Kessie. First shot on goal to Kessie, corner. Kessie shot is palmed for a corner kick. Good shot from Kessie, needed a finger tip save.</t>
  </si>
  <si>
    <t>[["rebic", 0.726599324831469], ["gol", 0.3632996624157345], ["lead", 0.3632996624157345], ["goal", 0.33646441890147377], ["net", 0.3080127051681039]]</t>
  </si>
  <si>
    <t>I just need a goal from AC Milan and this slip booms. COME ON BOYS AC Milan 🤲🏽🕯. Rebic gives Milan the lead with a belter. Yes this what I’m talking about. Let’s wound Parma. Milan leads 1-0. What a goal by Rebic!!! 🔥 🔥 🔥. Rebic !!!. O foh si ! 😂. The net still dey shake !</t>
  </si>
  <si>
    <t>[["calhanoglu", 0.43632480957066855], ["postag", 0.43632480957066855], ["stamp", 0.43632480957066855], ["pick", 0.39312716619576477], ["beauti", 0.3800944211490498], ["free", 0.360334905150217]]</t>
  </si>
  <si>
    <t>11' Ibrahimovic nearlr gets on the end of Calhanoglu's free-kick. Good start by Milan.. Parma Milan 0-1. 11' Ibrahimovic nearly gets on the end of Calhanoglu's free-kick. Good start by Milan.. Parma Milan 0-1. 🇭🇷 Rebic picks out the postage stamp with a beautiful shot 🚀..</t>
  </si>
  <si>
    <t>[["gervinho", 1.0]]</t>
  </si>
  <si>
    <t>Can’t stand watching Gervinho play. Has tunnel vision every time he receives the ball. Gervinho still dey play ball.</t>
  </si>
  <si>
    <t>[["beauti", 0.7385639805440212], ["thing", 0.674183392440789]]</t>
  </si>
  <si>
    <t>️⚽️ Rebic's goal again. A thing of beauty. 📹 👎🏼19..</t>
  </si>
  <si>
    <t>[["fuckin", 1.0]]</t>
  </si>
  <si>
    <t>Parma I need one fuckiiiiiiin goal.</t>
  </si>
  <si>
    <t>[["kessi", 1.0]]</t>
  </si>
  <si>
    <t>GOOOOAL KESSIE. Goal kessie #forzamilan Parma Milan. Gotta love the church bells rolling in the background before Kessie’s goal. Goal! Parma-Milan 0-2 Kessie! Great buildup from Milan as Theo Hernandez lays it off to Kessie who rolls it into the corner. GOOOOAAAAAAL KESSIE 2-0.</t>
  </si>
  <si>
    <t>[["time", 0.7430347405545309], ["theo", 0.42681230865307707], ["half", 0.37342824250175766], ["pass", 0.3553617526033717]]</t>
  </si>
  <si>
    <t>Theo to Ibrah to Theo for Kessie goal. This is great football. Kessie! Lovely passing. Keep going lads. Half time. Parma 0-2 Milan. Clinical. Zlatan's passing and Bennacer's return is just ❤🔥. Milan are cruising as Kessie makes it 2-0 just before half-time!.</t>
  </si>
  <si>
    <t>[["corner", 1.0]]</t>
  </si>
  <si>
    <t>Herh Milan vs Parma. First half 5 corners. 30th min : 2:2 corners. 45th min : 2:2 corners still. Bet spoil Herh. Like I wan mad.</t>
  </si>
  <si>
    <r>
      <rPr>
        <u/>
      </rPr>
      <t>Goal</t>
    </r>
    <r>
      <rPr>
        <u/>
      </rPr>
      <t xml:space="preserve">, </t>
    </r>
    <r>
      <rPr>
        <u/>
      </rPr>
      <t>BeSoccer</t>
    </r>
  </si>
  <si>
    <t>[["great", 0.8049509898162938], ["magic", 0.44917585154375844], ["pioli", 0.3876789372453816]]</t>
  </si>
  <si>
    <t>Kalalu needs to work on technique and passing. Can be a quality RB if he does. Doing a great job covering Gervinho defensively so far. Milan playing great football and scoring in the first half. Maybe Piolis magic is back..?.</t>
  </si>
  <si>
    <t>[["boy", 0.7183490448432484], ["work", 0.6956828658036596]]</t>
  </si>
  <si>
    <t>Work to do in the second half - Don't give up, boys! 👊🟡🔵. Parma Milan Forza Parma.</t>
  </si>
  <si>
    <t>Need to see our ballers, Tonali and Hauge in the second half. Saelemaekers got 2 players booked in 90 seconds lmao. ⏱️ 45' Second Half! Forza Milan. 46' Second half is underway! Parma Milan 0-2. Work to do in the second half - Don't give up, boys! 👊🟡🔵. Parma Milan Forza Parma.</t>
  </si>
  <si>
    <t>[["zaha", 0.3831503439933774], ["dude", 0.3831503439933774], ["dislik", 0.3831503439933774], ["sachet", 0.3831503439933774], ["cocki", 0.3831503439933774], ["omo", 0.3831503439933774], ["talent", 0.34521715395753333]]</t>
  </si>
  <si>
    <t>Omooo, I really dislike this Zaha dude. Very cocky player. Sachet Ibrahimovic with very little talent.</t>
  </si>
  <si>
    <t>[["conti", 0.5343792388394358], ["wouldv", 0.5343792388394358], ["score", 0.4688748630155528], ["donnarumma", 0.45720238519381856]]</t>
  </si>
  <si>
    <t>Donnarumma what a save! Great save from Donnarumma! A conti goal wouldve ended me. Conti almost scored ffs. Conti scoring would've been my 8th CL. PARMA FUCK OFF HOW DIDN'T YOU SCORE. Andrea Conti almost scored againts us. Stuff of nightmares. Wouldve cried if kucka scored that.</t>
  </si>
  <si>
    <t>[["red", 0.8677925327971434], ["card", 0.49692667469307644]]</t>
  </si>
  <si>
    <t>Ibrahimovic red card 🟥. Red Card! Ibrahimovic has seen a straight red for something he may have said to the referee. Wait why was Ibrahimovic given a red. Another red for Ibrahimovic. Needs to start acting like an old man. Ibrahimovic sees red. Switched to the Milan game.</t>
  </si>
  <si>
    <t>[["sent", 0.3988373158854657], ["gagliolo", 0.3988373158854657], ["fuck", 0.3988373158854657], ["given", 0.3988373158854657], ["men", 0.3581934579917413], ["straight", 0.3565326233051914], ["need", 0.32908527314382474]]</t>
  </si>
  <si>
    <t>Goal! Parma-Milan 1-2 Gagliolo! Gagliolo beats Donnarumma to the ball and opens up the game for Parma. Let’s go! We want/need this more!!. Parma Milan 1-2. Zlatan Ibrahimovic has been sent OFF with a straight red! 😱. Milan are now down to 10 men!. WHAT THE FUCK!!!??? Goal Parma...</t>
  </si>
  <si>
    <t>[["card", 0.44125118813454134], ["skill", 0.4292541121818055], ["ref", 0.4220792627905053], ["human", 0.39756581649009143], ["got", 0.3826698947926223], ["compar", 0.37201151224802087]]</t>
  </si>
  <si>
    <t>Zlatan Ibrahimovic vs Parma | Lions Don’t Compare Themselves To Humans | Goals, Skills and More. JUST SEEN ZLATAN THE DONKEY GOT A RED CARD AND PARMA SCORED. Milan gonna bottle this I’m screaaaaming! 😭😭🤣🤣🤣💀.</t>
  </si>
  <si>
    <t>[["stress", 0.8296116793902256], ["meit", 0.4148058396951128], ["sub", 0.3737386476860028]]</t>
  </si>
  <si>
    <t>Meite and Dalot as subs.... We want to defend a lead and bring Dalot Meite on. Meite and Dalot coming on for Bennacer and Saelemaekers. 72 minute, a big battle ahead to preserve this lead. I really thought Milan were gonna win this game stress free....</t>
  </si>
  <si>
    <t>Rebic</t>
  </si>
  <si>
    <t>[["goal", 0.7181041342833779], ["sent", 0.6959356668005459]]</t>
  </si>
  <si>
    <t>Galatasaray abeg Milan don deliver 2 goals score or concede 2 goals too pls. Cornelius is awful man, lucky that wasnt pelle on that or its a goal. Cashed after ibra sent off and parma got a goal back.</t>
  </si>
  <si>
    <t>Bani</t>
  </si>
  <si>
    <t>[["yellow", 0.7365435777894979], ["maresca", 0.676390093080203]]</t>
  </si>
  <si>
    <t>Maresca today :. Cornelius gets a : You Stop ! Ibrahimovic gets a : RED CARD. Parma Milan. Why the fuxk is Maresca dishing so many cards like that? Parma Milan. 78' Yellow card for Hernandez.. Parma Milan 1-2. ⏱️ 78' Yellow card for Theo Hernandez.</t>
  </si>
  <si>
    <t>Calhanoglu</t>
  </si>
  <si>
    <t>[["receiv", 0.45606261336730997], ["3353", 0.45606261336730997], ["fourth", 0.45606261336730997], ["overal", 0.45606261336730997], ["yellow", 0.4099116621350485]]</t>
  </si>
  <si>
    <t>Loool now Meite gets a yellow for fuck all smh. Yellow for Kessie. Zlatan Ibrahimovic has received his first red card in Serie A in 3353 days. His fourth overall for Milan.. AC Milan eating Yellow cards 😆😆. Kessie with another needless yellow.</t>
  </si>
  <si>
    <t>Pezzella</t>
  </si>
  <si>
    <t>[["kessi", 0.7890127509016153], ["lead", 0.4344300167545203], ["sent", 0.4344300167545203]]</t>
  </si>
  <si>
    <t>Kessie booked for kicking the ball away, we have lost it on the field. Kessie the one that should lead the players to calm down. ⏱ 81.' 🟨 Kessie is booked, too. Parma Milan 1-2 Sempre Milan. Lol Zlatan sent off for still leading 2-1.</t>
  </si>
  <si>
    <t>Gagliolo</t>
  </si>
  <si>
    <t>[["leao", 0.7289522329656613], ["corner", 0.37944560749321876], ["cusp", 0.18972280374660938], ["wrong", 0.18972280374660938], ["street", 0.17779879262132822], ["disturb", 0.17779879262132822], ["sent", 0.17338208612843178], ["hamper", 0.17338208612843178], ["acca", 0.17093959949930307], ["seri", 0.16339625871301106], ["pro", 0.15995212937124254], ["may", 0.1562166686231964], ["footbal", 0.15298907250295984]]</t>
  </si>
  <si>
    <t>Thank you Ibrahimovic 🙏🏾. Getting red carded and allowing Parma to pressure us and winning more corners 🙏🏾. 9.5 corners ✅. Zlatan sent off but it may hamper Milan's chances of CL football next season. Leao goal brilliant work by Dalot. Leao for the win. Just knew it.</t>
  </si>
  <si>
    <t>Kessie</t>
  </si>
  <si>
    <t>[["2004", 1.0]]</t>
  </si>
  <si>
    <t>2004 - Chaka Traorè (Parma) is the first player born in 2004 to play a Serie A game. Child.. Parma Milan.</t>
  </si>
  <si>
    <t>[["meit", 1.0]]</t>
  </si>
  <si>
    <t>Meite booked, raining yellow cards. ⏱ 90.' 🟨 Soualiho Meite goes into the book, too. Parma Milan 1-2 Sempre Milan.</t>
  </si>
  <si>
    <t>[["decis", 0.7568410340953257], ["conced", 0.6535989971760346]]</t>
  </si>
  <si>
    <t>Dalot is going to make us concede a penalty. Another Milan game with terrible decisions from the officials. Just tired of watching it game in game out Parma Milan Serie A.</t>
  </si>
  <si>
    <t>Cornelius for Gervinho</t>
  </si>
  <si>
    <t>[["diogo", 0.6644648354644707], ["sub", 0.40029863304371194], ["counter", 0.3801067999070971], ["rafael", 0.3801067999070971], ["pioli", 0.3305830124844314]]</t>
  </si>
  <si>
    <t>Pioli subs have been spot on but I bet you don't want this conversation. So, are we praising Pioli for the subs or its only when we lose a game? ⏱ 90+4' ⚽️. Rafael Leão seals the win following a Diogo Dalot counter 😍. Parma Milan 1-3 Sempre Milan. EA SPORTS FIFA.</t>
  </si>
  <si>
    <t>Ibrahimovic</t>
  </si>
  <si>
    <t>[["posit", 0.7468985738499148], ["2nd", 0.6649379823569739]]</t>
  </si>
  <si>
    <t>The Rossoneri maintain their excellent away record and beat Parma 3-1 to hold on to 2nd place in Serie A AC Milan. Job done! Milan fiish off Parma 1-3. Stay in 2nd place, 8 points behind Inter who have 1 game in hand! Much needed win!!! Positive Vibes Parma Milan.</t>
  </si>
  <si>
    <t>Grassi for Hernani</t>
  </si>
  <si>
    <t>Kucka</t>
  </si>
  <si>
    <t>Meite for Bennacer</t>
  </si>
  <si>
    <t>Dalot for Saelemaekers</t>
  </si>
  <si>
    <t>Busi for Pezzella</t>
  </si>
  <si>
    <t>Krunic for Calhanoglu</t>
  </si>
  <si>
    <t>Hernandez</t>
  </si>
  <si>
    <t>Gabbia for Kalulu</t>
  </si>
  <si>
    <t>Leao for Rebic</t>
  </si>
  <si>
    <t>Traoré for Conti</t>
  </si>
  <si>
    <t>Meite</t>
  </si>
  <si>
    <t>Leao</t>
  </si>
  <si>
    <t>[["wide", 1.0]]</t>
  </si>
  <si>
    <t>Ooft, golden chance for Icardi, free header six yards out from Di Maria's wide free kick and he nods wide. #PSGOM. 18' CHANCE! MauroIcardi heads just wide from a free-kick. That was close!. TDC 2020 | #PSGOM.</t>
  </si>
  <si>
    <t>[["yc", 0.7607103813731566], ["ff", 0.6490914540117645]]</t>
  </si>
  <si>
    <t>Di Maria is still so good ffs. 2 YCs already in PSG v Marseille after 25, looking a lively one.</t>
  </si>
  <si>
    <t>[["offsid", 0.7715223423406856], ["0x0", 0.3799950385630383], ["impedimento", 0.3799950385630383], ["mbapp", 0.3405301992541808]]</t>
  </si>
  <si>
    <t>Ball in the net again, Mbappe rifles in a finish from a long pass over the top but he's just offside. #PSGOM. Another OffSide for MBAPPE hhhhh. 2 offside PSG goals now ffs. 29' Gol de Kylian Mbappé anulado por impedimento. #𝐓𝐃𝐂𝟐𝟎𝟐𝟎. #PSGOM 0⃣x0⃣.</t>
  </si>
  <si>
    <t>[["icardi", 0.6862960396976769], ["ouvertur", 0.446103175128282], ["mauroicardi", 0.43188711016115744], ["keeper", 0.24275780315512194], ["areola", 0.20584219615936006], ["score", 0.20533111405723403]]</t>
  </si>
  <si>
    <t>Is this Areola the PSG keeper who had a house in London that our fans turned their nose up at? ⏱️ 40' Goal for Paris. Icardi. #PSGOM | 1⃣ - 0⃣ | ⚪️🔵 | Td C 2020. And that is where Icardi is at his best. Icardi opens the score. ⏱️ 39' | #PSGOM 1⃣-0⃣. Ouverture du score de Paris.</t>
  </si>
  <si>
    <t>[["babiani", 0.3536942836849524], ["sein", 0.3536942836849524], ["crazi", 0.3536942836849524], ["lottin", 0.3536942836849524], ["1080p", 0.3536942836849524], ["deni", 0.3536942836849524], ["jonathan", 0.3536942836849524], ["skill", 0.3525655624421062]]</t>
  </si>
  <si>
    <t>Kylian Mbappé Lottin vs OM • Crazy skills and goals • 1080p HD • Seine-Saint-Denis Jonathan Babiany ? 🔥 #PSGOM.</t>
  </si>
  <si>
    <t>[["unlucki", 0.6058720737355097], ["concept", 0.32635161958712683], ["12th", 0.32635161958712683], ["toti", 0.32635161958712683], ["pick", 0.2930203775986393], ["jong", 0.28778958508785957], ["thiago", 0.27352285093291157], ["goal", 0.2643943162975547]]</t>
  </si>
  <si>
    <t>Very annoying that the Aberdeen match has been postponed. Just one more PSG goal though and we win another £35 👌🏽😊. That would’ve been a wavy goal by icardi. Icardi unlucky not to score there. TOTY 12th Man Player Pick Concept 🌟. Thiago 🇪🇸 Neymar 🇧🇷 Mbappe 🇫🇷. Who you taking? 👀.</t>
  </si>
  <si>
    <t>[["lead", 0.8035711987181217], ["score", 0.35871543511623594], ["joy", 0.34223791104845774], ["half", 0.3293475025581314]]</t>
  </si>
  <si>
    <t>It's halftime in Lens and Paris Saint-Germain lead 1️⃣-0️⃣ through MauroIcardi. TDC 2020 #PSGOM. One thing icardi's gonna do is score against om. It's half-time in the Trophee des Champions final and PSG are in the lead! 😁. Scoring against Marseille = Pure joy. #PSGOM.</t>
  </si>
  <si>
    <t>[["first", 0.5597657339454645], ["goal", 0.5311350719394029], ["win", 0.4500128104150143], ["asap", 0.4494956383757257]]</t>
  </si>
  <si>
    <t>Man, Dembele is a star⚡⚡⚡. We need to start calling Mbappe out ASAP!!!!. Goal for psg in the finals!!!!!! Pochettino might win his first trophy for psg today. Mauricio Pochettino is gonna win his first trophy tonight! 😭😭.</t>
  </si>
  <si>
    <t>[["fight", 0.6310040865763861], ["pared", 0.57428322301557], ["term", 0.521567466859993]]</t>
  </si>
  <si>
    <t>Also PSG need to make Florenzi's loan deal permanent. For £9m he's a steal and can be a short term starter, long term squad player. Paredes showing he isn't only good at fighting. What a first half he had. Leandro Paredes vs OM - 1st half time - Next Thiago Motta ?.</t>
  </si>
  <si>
    <t>[["anymor", 0.6077922373328746], ["mandanda", 0.6077922373328746], ["pele", 0.5110549798953116]]</t>
  </si>
  <si>
    <t>No one can say Pochettino doesn't win trophies anymore. AVB took Mandanda off at half-time 😭 Pele hasn't played for a year? Why did mandanda get subbed of?!? Marseilles have brought Pele on for the 2nd half. It’s ok though as he’s gone in goal. #PSGOM.</t>
  </si>
  <si>
    <r>
      <rPr>
        <rFont val="Arial"/>
        <color rgb="FF000000"/>
        <u/>
      </rPr>
      <t>L'Equipe</t>
    </r>
    <r>
      <rPr>
        <rFont val="Arial"/>
        <color rgb="FF000000"/>
        <u/>
      </rPr>
      <t xml:space="preserve">, </t>
    </r>
    <r>
      <rPr>
        <rFont val="Arial"/>
        <color rgb="FF000000"/>
        <u/>
      </rPr>
      <t>Transfermarkt</t>
    </r>
  </si>
  <si>
    <t>[["basic", 0.6083046432477797], ["nba", 0.6083046432477797], ["happen", 0.5098342103138855]]</t>
  </si>
  <si>
    <t>For football people: what just happened in the NBA is basically Messi joining Neymar and Mbappe at PSG. 🤯.</t>
  </si>
  <si>
    <t>[["feyenoord", 0.6197300851102273], ["hold", 0.5194101377609089], ["ney", 0.30986504255511366], ["score", 0.3078238434094144], ["miss", 0.2941932814113484], ["back", 0.2623474421523134]]</t>
  </si>
  <si>
    <t>Neymar jr back 🔥🏆 #PSGOM Trophee Des Champions. Neyyyyy finally ☺️☺️☺️ i missed him sm #PSGOM. They're daring OM to score on them. Trophee Des Champions #PSGOM. Tottenham score one more. Feyenoord hold on. Psg win that’s all. 🙏🏽🙏🏽🙏🏽🙏🏽🙏🏽.</t>
  </si>
  <si>
    <t>[["fight", 0.39596596443452403], ["titl", 0.39596596443452403], ["minut", 0.38434748324646845], ["min", 0.3512237664159518], ["valentin", 0.3222346924392116], ["valer", 0.3222346924392116], ["replac", 0.3222346924392116], ["rongier", 0.3222346924392116]]</t>
  </si>
  <si>
    <t>Pochettino is 10 mins away from winning his first ever silverware. 💉💉. ⏱️ 80' Final change for the Olympiens. Valentin Rongier replaced by Valère Germain.. #PSGOM | 1⃣ - 0⃣ | ⚪️🔵 | Td C 2020. Pochettino is 15 minutes from winning his first title. #PSGOM Trophee Des Champions.</t>
  </si>
  <si>
    <t>[["penalti", 0.6639688381341845], ["idrissa", 0.3448262013750733], ["guey", 0.3448262013750733], ["essien", 0.3448262013750733], ["fli", 0.3448262013750733], ["pared", 0.28900682581505027]]</t>
  </si>
  <si>
    <t>Paredes needs to fly kick this guy. Idrissa Gueye vs OM 🔥🔥 // The New Essien 🥶🥶🥶 ? Skills and goals 🥵🥵🥵🥵 #PSGOM. Should be a penalty for PSG here. Definitely a penalty lol even if Icardi looked for it. Penalty ??? #PSGOM. That’s a penalty every day doesn’t need VAR. Foolish #PSG.</t>
  </si>
  <si>
    <t>[["irv", 0.3475008205723708], ["kyri", 0.3475008205723708], ["durant", 0.3475008205723708], ["kevin", 0.3475008205723708], ["harden", 0.3475008205723708], ["suarez", 0.3475008205723708], ["term", 0.31200954905256323], ["colo", 0.30542337639331857], ["jame", 0.291248486110563]]</t>
  </si>
  <si>
    <t>Esteban Paredes on for Javier Parraguez for the final 10 minutes of the game. Colo-Colo still one behind. James Harden, Kevin Durant Kyrie Irving?? In Football terms, this is going to be like Messi, Neymar and Suarez 😂🤣.</t>
  </si>
  <si>
    <t>[["poch", 0.599157034895885], ["score", 0.5971038043560521], ["neymar", 0.5333646917056851]]</t>
  </si>
  <si>
    <t>Neymar wins Poch his first trophy 🏆 #PSGOM. For football people: what just happened in the NBA is basically Messi joining Neymar and Mbappe at PSG. 🤯. Neymar scored more goals in finals today (1) than Henry has scored goals in finals in his entire career (0)</t>
  </si>
  <si>
    <t>[["spot", 0.9069496822417015], ["week", 0.30924366667978104], ["within", 0.2860255731575784]]</t>
  </si>
  <si>
    <t>Poch winning his first trophy for PSG within 2 weeks of being there. Neymar scores from the spot. GOAL! Neymar Jr nets from the spot to make it 2-0 to Paris Saint-Germain. TDC 2020 #PSGOM.</t>
  </si>
  <si>
    <t>[["gol", 0.5220638922266991], ["fat", 0.41570733074405664], ["picant", 0.3831270992937302], ["playa", 0.2532713765986455], ["dirt", 0.24938734794904927], ["spursi", 0.2321495520559911], ["goal", 0.23052242587081884], ["biola", 0.22811570352278923], ["kazeem", 0.22811570352278923], ["mourinho", 0.138936792932969], ["game", 0.138936792932969], ["need", 0.1268246443324959], ["payet", 0.12534347552497557]]</t>
  </si>
  <si>
    <t>PSG coming to do dirt in champions league lol. Gol de Payet. Picante final. Fat man scores goal. Trophee Des Champions #PSGOM. Another final goal for Neymar. Big game playa. Pochettino about to win his first competitive trophy 🏆..... Where is Biola Kazeem. Gooooooool payet.</t>
  </si>
  <si>
    <t>[["enter", 0.383101198426569], ["danilo", 0.383101198426569], ["load", 0.383101198426569], ["woah", 0.3693944637353491], ["come", 0.3410376531560326], ["though", 0.33166713063509623], ["first", 0.31385426029320784], ["payet", 0.31374174464990295]]</t>
  </si>
  <si>
    <t>Neymar just had to score on his first game back 🙏🏾. Come-back loading…. #PSGOM Trophee Des Champions. 88' - DOUBLE SUB. Kean and Danilo enter the game.. TDC 2020 | #PSGOM. Woooooooah, Payet scores! Finally! Still 2:1 and almost the end of the game though. #PSGOM.</t>
  </si>
  <si>
    <t>Radonjic</t>
  </si>
  <si>
    <t>[["conced", 0.5781398190694663], ["pen", 0.30739520157833755], ["someth", 0.30739520157833755], ["back", 0.30392976066466587], ["ass", 0.2666627434670064], ["month", 0.2576350379543834], ["came", 0.25197478978758675], ["champion", 0.24946566482722682], ["win", 0.24634199769378357], ["first", 0.24597521481403342]]</t>
  </si>
  <si>
    <t>Neymar back scoring (just a pen) less than a month after this. The best thing about cavs goal is that Parker told kamara to sit back down 🥳🥳. Im just going to give up on psg if we concede now. You was on to something when it came to closing out games. Trophee Des Champions #PSGOM.</t>
  </si>
  <si>
    <t>Icardi (disallowed)</t>
  </si>
  <si>
    <t>[["one", 1.0]]</t>
  </si>
  <si>
    <t>⏱️ 90+6' All over in Lens as OM go down by one goal. #PSGOM | 2⃣ - 1⃣ | ⚪️🔵 | Td C 2020.</t>
  </si>
  <si>
    <t>Nagatomo</t>
  </si>
  <si>
    <t>Mbappe (disallowed)</t>
  </si>
  <si>
    <t>Icardi</t>
  </si>
  <si>
    <t>Pele for Mandanda</t>
  </si>
  <si>
    <t>Benedetto for Radonjic</t>
  </si>
  <si>
    <t>Sanson for Gueye</t>
  </si>
  <si>
    <t>Neymar for Di Maria</t>
  </si>
  <si>
    <t>Kimpembe for Kurzawa</t>
  </si>
  <si>
    <t>Lirola for Nagatomo</t>
  </si>
  <si>
    <t>Lirola</t>
  </si>
  <si>
    <t>Alvaro Gonzalez</t>
  </si>
  <si>
    <t>Germain for Rongier</t>
  </si>
  <si>
    <t>Neymar</t>
  </si>
  <si>
    <t>Danilo for Paredes</t>
  </si>
  <si>
    <t>Kean for Icardi</t>
  </si>
  <si>
    <t>Payet</t>
  </si>
  <si>
    <t>Sarabia for Herrera</t>
  </si>
  <si>
    <t>Mbappe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</si>
</sst>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0.0000"/>
    <numFmt numFmtId="166" formatCode="M/d/yyyy H:mm:ss"/>
    <numFmt numFmtId="167" formatCode="h:mm:ss am/pm"/>
  </numFmts>
  <fonts count="18">
    <font>
      <sz val="10.0"/>
      <color rgb="FF000000"/>
      <name val="Arial"/>
      <scheme val="minor"/>
    </font>
    <font>
      <b/>
      <color theme="1"/>
      <name val="Arial"/>
      <scheme val="minor"/>
    </font>
    <font>
      <color theme="1"/>
      <name val="Arial"/>
      <scheme val="minor"/>
    </font>
    <font>
      <color theme="1"/>
      <name val="Arial"/>
    </font>
    <font>
      <b/>
      <color theme="1"/>
      <name val="Arial"/>
    </font>
    <font>
      <b/>
      <u/>
      <sz val="8.0"/>
      <color rgb="FF1155CC"/>
      <name val="Inconsolata"/>
    </font>
    <font>
      <b/>
      <sz val="8.0"/>
      <color rgb="FF666666"/>
      <name val="Nunito"/>
    </font>
    <font>
      <i/>
      <color theme="1"/>
      <name val="Arial"/>
      <scheme val="minor"/>
    </font>
    <font>
      <u/>
      <color theme="1"/>
      <name val="Arial"/>
      <scheme val="minor"/>
    </font>
    <font>
      <u/>
      <color theme="1"/>
      <name val="Arial"/>
      <scheme val="minor"/>
    </font>
    <font>
      <u/>
      <color theme="1"/>
      <name val="Arial"/>
      <scheme val="minor"/>
    </font>
    <font>
      <u/>
      <color rgb="FF1155CC"/>
      <name val="Arial"/>
    </font>
    <font>
      <u/>
      <color rgb="FF0000FF"/>
    </font>
    <font>
      <u/>
      <color rgb="FF0000FF"/>
      <name val="Arial"/>
    </font>
    <font>
      <u/>
      <color rgb="FF0000FF"/>
    </font>
    <font>
      <color rgb="FF000000"/>
      <name val="Arial"/>
    </font>
    <font>
      <u/>
      <color theme="1"/>
    </font>
    <font>
      <u/>
      <color rgb="FF000000"/>
      <name val="Arial"/>
    </font>
  </fonts>
  <fills count="5">
    <fill>
      <patternFill patternType="none"/>
    </fill>
    <fill>
      <patternFill patternType="lightGray"/>
    </fill>
    <fill>
      <patternFill patternType="solid">
        <fgColor rgb="FFDFFFF0"/>
        <bgColor rgb="FFDFFFF0"/>
      </patternFill>
    </fill>
    <fill>
      <patternFill patternType="solid">
        <fgColor rgb="FFF3F3F3"/>
        <bgColor rgb="FFF3F3F3"/>
      </patternFill>
    </fill>
    <fill>
      <patternFill patternType="solid">
        <fgColor rgb="FFFFFFFF"/>
        <bgColor rgb="FFFFFFFF"/>
      </patternFill>
    </fill>
  </fills>
  <borders count="6">
    <border/>
    <border>
      <left style="thin">
        <color rgb="FF000000"/>
      </left>
    </border>
    <border>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horizontal="right"/>
    </xf>
    <xf borderId="0" fillId="0" fontId="1" numFmtId="0" xfId="0" applyAlignment="1" applyFont="1">
      <alignment horizontal="center"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top"/>
    </xf>
    <xf borderId="0" fillId="0" fontId="1" numFmtId="0" xfId="0" applyFont="1"/>
    <xf borderId="0" fillId="0" fontId="2" numFmtId="10" xfId="0" applyAlignment="1" applyFont="1" applyNumberFormat="1">
      <alignment horizontal="right"/>
    </xf>
    <xf borderId="0" fillId="0" fontId="2" numFmtId="10" xfId="0" applyAlignment="1" applyFont="1" applyNumberFormat="1">
      <alignment horizontal="center"/>
    </xf>
    <xf borderId="0" fillId="0" fontId="5" numFmtId="0" xfId="0" applyAlignment="1" applyFont="1">
      <alignment readingOrder="0"/>
    </xf>
    <xf borderId="1" fillId="0" fontId="2" numFmtId="10" xfId="0" applyBorder="1" applyFont="1" applyNumberFormat="1"/>
    <xf borderId="0" fillId="0" fontId="2" numFmtId="10" xfId="0" applyFont="1" applyNumberFormat="1"/>
    <xf borderId="0" fillId="0" fontId="2" numFmtId="3" xfId="0" applyAlignment="1" applyFont="1" applyNumberFormat="1">
      <alignment horizontal="right"/>
    </xf>
    <xf borderId="1" fillId="0" fontId="2" numFmtId="3" xfId="0" applyBorder="1" applyFont="1" applyNumberFormat="1"/>
    <xf borderId="1" fillId="0" fontId="2" numFmtId="0" xfId="0" applyBorder="1" applyFont="1"/>
    <xf borderId="0" fillId="0" fontId="6" numFmtId="0" xfId="0" applyAlignment="1" applyFont="1">
      <alignment readingOrder="0"/>
    </xf>
    <xf borderId="2" fillId="0" fontId="2" numFmtId="10" xfId="0" applyAlignment="1" applyBorder="1" applyFont="1" applyNumberFormat="1">
      <alignment horizontal="right"/>
    </xf>
    <xf borderId="0" fillId="0" fontId="2" numFmtId="4" xfId="0" applyFont="1" applyNumberFormat="1"/>
    <xf borderId="3" fillId="0" fontId="2" numFmtId="10" xfId="0" applyAlignment="1" applyBorder="1" applyFont="1" applyNumberFormat="1">
      <alignment horizontal="right"/>
    </xf>
    <xf borderId="2" fillId="0" fontId="2" numFmtId="3" xfId="0" applyBorder="1" applyFont="1" applyNumberFormat="1"/>
    <xf borderId="3" fillId="0" fontId="2" numFmtId="3" xfId="0" applyBorder="1" applyFont="1" applyNumberFormat="1"/>
    <xf borderId="0" fillId="0" fontId="1" numFmtId="10" xfId="0" applyAlignment="1" applyFont="1" applyNumberFormat="1">
      <alignment readingOrder="0"/>
    </xf>
    <xf borderId="2" fillId="0" fontId="2" numFmtId="0" xfId="0" applyBorder="1" applyFont="1"/>
    <xf borderId="3" fillId="0" fontId="2" numFmtId="0" xfId="0" applyBorder="1" applyFont="1"/>
    <xf borderId="0" fillId="0" fontId="7" numFmtId="0" xfId="0" applyAlignment="1" applyFont="1">
      <alignment readingOrder="0" shrinkToFit="0" vertical="top" wrapText="0"/>
    </xf>
    <xf borderId="0" fillId="0" fontId="2" numFmtId="4" xfId="0" applyAlignment="1" applyFont="1" applyNumberFormat="1">
      <alignment readingOrder="0"/>
    </xf>
    <xf borderId="0" fillId="0" fontId="1" numFmtId="0" xfId="0" applyAlignment="1" applyFont="1">
      <alignment horizontal="left" readingOrder="0"/>
    </xf>
    <xf borderId="0" fillId="0" fontId="2" numFmtId="164" xfId="0" applyAlignment="1" applyFont="1" applyNumberFormat="1">
      <alignment horizontal="right"/>
    </xf>
    <xf borderId="0" fillId="0" fontId="8" numFmtId="164" xfId="0" applyAlignment="1" applyFont="1" applyNumberFormat="1">
      <alignment horizontal="right" readingOrder="0"/>
    </xf>
    <xf borderId="0" fillId="0" fontId="6" numFmtId="4" xfId="0" applyAlignment="1" applyFont="1" applyNumberFormat="1">
      <alignment readingOrder="0"/>
    </xf>
    <xf borderId="0" fillId="0" fontId="2" numFmtId="10" xfId="0" applyAlignment="1" applyFont="1" applyNumberFormat="1">
      <alignment horizontal="right" readingOrder="0"/>
    </xf>
    <xf borderId="0" fillId="0" fontId="2" numFmtId="4" xfId="0" applyAlignment="1" applyFont="1" applyNumberFormat="1">
      <alignment horizontal="center"/>
    </xf>
    <xf borderId="0" fillId="0" fontId="1" numFmtId="164" xfId="0" applyAlignment="1" applyFont="1" applyNumberFormat="1">
      <alignment horizontal="right"/>
    </xf>
    <xf borderId="0" fillId="0" fontId="9" numFmtId="165" xfId="0" applyAlignment="1" applyFont="1" applyNumberFormat="1">
      <alignment horizontal="right" readingOrder="0"/>
    </xf>
    <xf borderId="0" fillId="0" fontId="10" numFmtId="4" xfId="0" applyAlignment="1" applyFont="1" applyNumberFormat="1">
      <alignment horizontal="right" readingOrder="0"/>
    </xf>
    <xf borderId="0" fillId="0" fontId="2" numFmtId="165" xfId="0" applyAlignment="1" applyFont="1" applyNumberFormat="1">
      <alignment horizontal="right"/>
    </xf>
    <xf borderId="1" fillId="0" fontId="2" numFmtId="164" xfId="0" applyAlignment="1" applyBorder="1" applyFont="1" applyNumberFormat="1">
      <alignment horizontal="right"/>
    </xf>
    <xf borderId="0" fillId="0" fontId="2" numFmtId="0" xfId="0" applyAlignment="1" applyFont="1">
      <alignment readingOrder="0"/>
    </xf>
    <xf borderId="0" fillId="0" fontId="2" numFmtId="0" xfId="0" applyFont="1"/>
    <xf borderId="3" fillId="2" fontId="3" numFmtId="10" xfId="0" applyAlignment="1" applyBorder="1" applyFill="1" applyFont="1" applyNumberFormat="1">
      <alignment horizontal="right" vertical="bottom"/>
    </xf>
    <xf borderId="2" fillId="2" fontId="3" numFmtId="10" xfId="0" applyAlignment="1" applyBorder="1" applyFont="1" applyNumberFormat="1">
      <alignment horizontal="right" vertical="bottom"/>
    </xf>
    <xf borderId="1" fillId="2" fontId="3" numFmtId="10" xfId="0" applyAlignment="1" applyBorder="1" applyFont="1" applyNumberFormat="1">
      <alignment horizontal="right" vertical="bottom"/>
    </xf>
    <xf borderId="0" fillId="0" fontId="7" numFmtId="0" xfId="0" applyAlignment="1" applyFont="1">
      <alignment readingOrder="0" shrinkToFit="0" vertical="top" wrapText="0"/>
    </xf>
    <xf borderId="0" fillId="0" fontId="7"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right"/>
    </xf>
    <xf borderId="2" fillId="0" fontId="2" numFmtId="4" xfId="0" applyAlignment="1" applyBorder="1" applyFont="1" applyNumberFormat="1">
      <alignment horizontal="right"/>
    </xf>
    <xf borderId="0" fillId="0" fontId="2" numFmtId="4" xfId="0" applyAlignment="1" applyFont="1" applyNumberFormat="1">
      <alignment horizontal="right"/>
    </xf>
    <xf borderId="0" fillId="0" fontId="2" numFmtId="164" xfId="0" applyAlignment="1" applyFont="1" applyNumberFormat="1">
      <alignment horizontal="right" readingOrder="0"/>
    </xf>
    <xf borderId="0" fillId="0" fontId="1" numFmtId="0" xfId="0" applyAlignment="1" applyFont="1">
      <alignment readingOrder="0"/>
    </xf>
    <xf borderId="0" fillId="0" fontId="2" numFmtId="49" xfId="0" applyFont="1" applyNumberFormat="1"/>
    <xf borderId="0" fillId="0" fontId="2" numFmtId="3" xfId="0" applyAlignment="1" applyFont="1" applyNumberFormat="1">
      <alignment readingOrder="0"/>
    </xf>
    <xf borderId="0" fillId="2" fontId="3" numFmtId="10" xfId="0" applyAlignment="1" applyFont="1" applyNumberFormat="1">
      <alignment vertical="bottom"/>
    </xf>
    <xf borderId="0" fillId="0" fontId="2" numFmtId="0" xfId="0" applyFont="1"/>
    <xf borderId="0" fillId="0" fontId="2" numFmtId="0" xfId="0" applyAlignment="1" applyFont="1">
      <alignment horizontal="center"/>
    </xf>
    <xf borderId="0" fillId="3" fontId="2" numFmtId="0" xfId="0" applyFill="1" applyFont="1"/>
    <xf borderId="0" fillId="0" fontId="11" numFmtId="0" xfId="0" applyAlignment="1" applyFont="1">
      <alignment readingOrder="0" vertical="bottom"/>
    </xf>
    <xf borderId="0" fillId="0" fontId="1" numFmtId="166" xfId="0" applyAlignment="1" applyFont="1" applyNumberFormat="1">
      <alignment readingOrder="0"/>
    </xf>
    <xf borderId="0" fillId="0" fontId="1" numFmtId="0" xfId="0" applyAlignment="1" applyFont="1">
      <alignment readingOrder="0" shrinkToFit="0" wrapText="0"/>
    </xf>
    <xf borderId="0" fillId="0" fontId="4" numFmtId="0" xfId="0" applyAlignment="1" applyFont="1">
      <alignment readingOrder="0" vertical="bottom"/>
    </xf>
    <xf borderId="0" fillId="0" fontId="2" numFmtId="10" xfId="0" applyAlignment="1" applyFont="1" applyNumberFormat="1">
      <alignment readingOrder="0"/>
    </xf>
    <xf borderId="0" fillId="0" fontId="3" numFmtId="0" xfId="0" applyAlignment="1" applyFont="1">
      <alignment horizontal="right" readingOrder="0" vertical="bottom"/>
    </xf>
    <xf borderId="0" fillId="0" fontId="2" numFmtId="166" xfId="0" applyFont="1" applyNumberFormat="1"/>
    <xf borderId="0" fillId="0" fontId="3" numFmtId="0" xfId="0" applyAlignment="1" applyFont="1">
      <alignment readingOrder="0" vertical="bottom"/>
    </xf>
    <xf borderId="0" fillId="0" fontId="3" numFmtId="0" xfId="0" applyAlignment="1" applyFont="1">
      <alignment readingOrder="0" vertical="bottom"/>
    </xf>
    <xf borderId="0" fillId="0" fontId="2" numFmtId="3" xfId="0" applyFont="1" applyNumberFormat="1"/>
    <xf borderId="0" fillId="0" fontId="2" numFmtId="9" xfId="0" applyFont="1" applyNumberFormat="1"/>
    <xf borderId="0" fillId="0" fontId="2" numFmtId="167" xfId="0" applyFont="1" applyNumberFormat="1"/>
    <xf borderId="0" fillId="0" fontId="4" numFmtId="0" xfId="0" applyAlignment="1" applyFont="1">
      <alignment vertical="bottom"/>
    </xf>
    <xf borderId="0" fillId="0" fontId="12" numFmtId="0" xfId="0" applyAlignment="1" applyFont="1">
      <alignment readingOrder="0" shrinkToFit="0" wrapText="0"/>
    </xf>
    <xf borderId="0" fillId="0" fontId="3" numFmtId="167" xfId="0" applyAlignment="1" applyFont="1" applyNumberFormat="1">
      <alignment vertical="bottom"/>
    </xf>
    <xf borderId="0" fillId="0" fontId="3" numFmtId="3" xfId="0" applyAlignment="1" applyFont="1" applyNumberFormat="1">
      <alignment horizontal="right" vertical="bottom"/>
    </xf>
    <xf borderId="0" fillId="0" fontId="3" numFmtId="10"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Font="1"/>
    <xf borderId="0" fillId="0" fontId="3" numFmtId="0" xfId="0" applyAlignment="1" applyFont="1">
      <alignment readingOrder="0"/>
    </xf>
    <xf borderId="0" fillId="0" fontId="3" numFmtId="167" xfId="0" applyAlignment="1" applyFont="1" applyNumberFormat="1">
      <alignment horizontal="right" readingOrder="0" vertical="bottom"/>
    </xf>
    <xf borderId="0" fillId="0" fontId="2" numFmtId="166" xfId="0" applyAlignment="1" applyFont="1" applyNumberFormat="1">
      <alignment readingOrder="0"/>
    </xf>
    <xf borderId="0" fillId="0" fontId="2" numFmtId="0" xfId="0" applyAlignment="1" applyFont="1">
      <alignment readingOrder="0" shrinkToFit="0" wrapText="0"/>
    </xf>
    <xf borderId="0" fillId="0" fontId="2" numFmtId="167" xfId="0" applyAlignment="1" applyFont="1" applyNumberForma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13" numFmtId="0" xfId="0" applyAlignment="1" applyFont="1">
      <alignment readingOrder="0" shrinkToFit="0" vertical="bottom" wrapText="0"/>
    </xf>
    <xf borderId="4" fillId="0" fontId="3" numFmtId="167" xfId="0" applyAlignment="1" applyBorder="1" applyFont="1" applyNumberFormat="1">
      <alignment vertical="bottom"/>
    </xf>
    <xf borderId="0" fillId="0" fontId="2" numFmtId="0" xfId="0" applyAlignment="1" applyFont="1">
      <alignment readingOrder="0"/>
    </xf>
    <xf borderId="0" fillId="0" fontId="14" numFmtId="0" xfId="0" applyAlignment="1" applyFont="1">
      <alignment readingOrder="0"/>
    </xf>
    <xf borderId="0" fillId="4" fontId="15" numFmtId="167" xfId="0" applyAlignment="1" applyFill="1" applyFont="1" applyNumberFormat="1">
      <alignment vertical="bottom"/>
    </xf>
    <xf borderId="0" fillId="0" fontId="2" numFmtId="0" xfId="0" applyAlignment="1" applyFont="1">
      <alignment shrinkToFit="0" wrapText="0"/>
    </xf>
    <xf borderId="0" fillId="0" fontId="16" numFmtId="0" xfId="0" applyAlignment="1" applyFont="1">
      <alignment readingOrder="0"/>
    </xf>
    <xf borderId="0" fillId="0" fontId="3" numFmtId="0" xfId="0" applyAlignment="1" applyFont="1">
      <alignment horizontal="right" readingOrder="0" vertical="bottom"/>
    </xf>
    <xf borderId="5" fillId="0" fontId="17" numFmtId="0" xfId="0" applyAlignment="1" applyBorder="1" applyFont="1">
      <alignment shrinkToFit="0" vertical="bottom" wrapText="0"/>
    </xf>
  </cellXfs>
  <cellStyles count="1">
    <cellStyle xfId="0" name="Normal" builtinId="0"/>
  </cellStyles>
  <dxfs count="4">
    <dxf>
      <font/>
      <fill>
        <patternFill patternType="solid">
          <fgColor rgb="FFDFFFF0"/>
          <bgColor rgb="FFDFFFF0"/>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FFEADF"/>
          <bgColor rgb="FFFFEADF"/>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transfermarkt.com/spielbericht/index/spielbericht/347620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al.com/it/partita/parma-vs-milan/c00f9sqimvmrnkmz5n8xknlsk"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equipe.fr/Football/match-direct/trophee-des-champions/2020/psg-om-live/505182" TargetMode="External"/><Relationship Id="rId2"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2" width="14.13"/>
    <col customWidth="1" min="7" max="7" width="16.38"/>
    <col customWidth="1" min="8" max="8" width="17.0"/>
    <col customWidth="1" min="11" max="11" width="10.0"/>
    <col customWidth="1" min="12" max="12" width="8.0"/>
  </cols>
  <sheetData>
    <row r="1">
      <c r="A1" s="1"/>
      <c r="B1" s="2"/>
      <c r="C1" s="2"/>
      <c r="D1" s="2"/>
      <c r="E1" s="3"/>
      <c r="F1" s="4"/>
      <c r="G1" s="4"/>
      <c r="H1" s="4"/>
      <c r="I1" s="5"/>
      <c r="J1" s="6"/>
      <c r="K1" s="6"/>
      <c r="L1" s="6"/>
      <c r="M1" s="6"/>
      <c r="S1" s="4" t="s">
        <v>0</v>
      </c>
      <c r="Y1" s="6"/>
      <c r="Z1" s="6"/>
      <c r="AA1" s="7"/>
      <c r="AB1" s="6"/>
      <c r="AC1" s="6"/>
      <c r="AD1" s="5"/>
      <c r="AE1" s="4" t="s">
        <v>1</v>
      </c>
    </row>
    <row r="2">
      <c r="A2" s="1"/>
      <c r="B2" s="2" t="s">
        <v>2</v>
      </c>
      <c r="C2" s="2" t="s">
        <v>3</v>
      </c>
      <c r="D2" s="2" t="s">
        <v>4</v>
      </c>
      <c r="E2" s="3"/>
      <c r="F2" s="4" t="s">
        <v>5</v>
      </c>
      <c r="I2" s="5"/>
      <c r="J2" s="6" t="str">
        <f t="array" ref="J2:M2">TRANSPOSE(INDEX(INDIRECT(INDEX($F$4,0) &amp; "!$A$14:$A$17"),0))</f>
        <v>Goal</v>
      </c>
      <c r="K2" s="6" t="s">
        <v>6</v>
      </c>
      <c r="L2" s="6" t="s">
        <v>7</v>
      </c>
      <c r="M2" s="6" t="s">
        <v>8</v>
      </c>
      <c r="N2" s="1" t="s">
        <v>9</v>
      </c>
      <c r="O2" s="1" t="s">
        <v>10</v>
      </c>
      <c r="P2" s="1" t="s">
        <v>11</v>
      </c>
      <c r="Q2" s="1" t="s">
        <v>12</v>
      </c>
      <c r="R2" s="8"/>
      <c r="S2" s="6" t="str">
        <f t="array" ref="S2:V2">TRANSPOSE(INDEX(INDIRECT(INDEX($F$4,0) &amp; "!$A$14:$A$17"),0))</f>
        <v>Goal</v>
      </c>
      <c r="T2" s="6" t="s">
        <v>6</v>
      </c>
      <c r="U2" s="6" t="s">
        <v>7</v>
      </c>
      <c r="V2" s="6" t="s">
        <v>8</v>
      </c>
      <c r="W2" s="1" t="s">
        <v>13</v>
      </c>
      <c r="Y2" s="6" t="str">
        <f t="array" ref="Y2:AC2">TRANSPOSE(INDEX(INDIRECT(INDEX($F$4,0) &amp; "!$A$2:$A$6"),0))</f>
        <v>Redundant</v>
      </c>
      <c r="Z2" s="6" t="s">
        <v>14</v>
      </c>
      <c r="AA2" s="7" t="s">
        <v>15</v>
      </c>
      <c r="AB2" s="6" t="s">
        <v>16</v>
      </c>
      <c r="AC2" s="6" t="s">
        <v>17</v>
      </c>
      <c r="AD2" s="5"/>
      <c r="AE2" s="6" t="str">
        <f t="array" ref="AE2:AI2">TRANSPOSE(INDEX(INDIRECT(INDEX($F$4,0) &amp; "!$A$2:$A$6"),0))</f>
        <v>Redundant</v>
      </c>
      <c r="AF2" s="6" t="s">
        <v>14</v>
      </c>
      <c r="AG2" s="7" t="s">
        <v>15</v>
      </c>
      <c r="AH2" s="6" t="s">
        <v>16</v>
      </c>
      <c r="AI2" s="6" t="s">
        <v>17</v>
      </c>
      <c r="AJ2" s="1" t="s">
        <v>13</v>
      </c>
    </row>
    <row r="3">
      <c r="A3" s="1"/>
      <c r="B3" s="4" t="s">
        <v>18</v>
      </c>
      <c r="F3" s="1" t="s">
        <v>2</v>
      </c>
      <c r="G3" s="1" t="s">
        <v>3</v>
      </c>
      <c r="H3" s="1" t="s">
        <v>4</v>
      </c>
      <c r="J3" s="4" t="s">
        <v>2</v>
      </c>
      <c r="S3" s="4" t="s">
        <v>2</v>
      </c>
      <c r="Y3" s="4" t="s">
        <v>2</v>
      </c>
      <c r="AE3" s="4" t="s">
        <v>2</v>
      </c>
    </row>
    <row r="4">
      <c r="A4" s="1" t="s">
        <v>19</v>
      </c>
      <c r="B4" s="9">
        <f t="array" ref="B4">INDEX(INDIRECT(INDEX($F$4,0) &amp; "!$D$8"),0)</f>
        <v>0.6551724138</v>
      </c>
      <c r="C4" s="9">
        <f t="array" ref="C4">INDEX(INDIRECT(INDEX($G$4,0) &amp; "!$D$8"),0)</f>
        <v>0.6842105263</v>
      </c>
      <c r="D4" s="9">
        <f t="array" ref="D4">INDEX(INDIRECT(INDEX($H$4,0) &amp; "!$D$8"),0)</f>
        <v>0.7692307692</v>
      </c>
      <c r="E4" s="10"/>
      <c r="F4" s="11" t="s">
        <v>20</v>
      </c>
      <c r="G4" s="11" t="s">
        <v>21</v>
      </c>
      <c r="H4" s="11" t="s">
        <v>22</v>
      </c>
      <c r="J4" s="9">
        <f t="array" ref="J4">INDEX(INDIRECT(INDEX($F$4,0) &amp; "!$D$14"),0)</f>
        <v>1</v>
      </c>
      <c r="K4" s="9">
        <f t="array" ref="K4">INDEX(INDIRECT(INDEX($F$4,0) &amp; "!$D$15"),0)</f>
        <v>0.6666666667</v>
      </c>
      <c r="L4" s="9">
        <f t="array" ref="L4">INDEX(INDIRECT(INDEX($F$4,0) &amp; "!$D$16"),0)</f>
        <v>0.25</v>
      </c>
      <c r="M4" s="9">
        <f t="array" ref="M4">INDEX(INDIRECT(INDEX($F$4,0) &amp; "!$D$17"),0)</f>
        <v>0.5</v>
      </c>
      <c r="N4" s="12">
        <f t="array" ref="N4">SUM(J4:M4*S4:V4)/W4</f>
        <v>0.5714285714</v>
      </c>
      <c r="O4" s="13">
        <f t="array" ref="O4">SUM(J4:L4*S4:U4)/SUM(S4:U4)</f>
        <v>0.6</v>
      </c>
      <c r="P4" s="13">
        <f t="shared" ref="P4:P9" si="1">(J4*S4+K4*T4+M4*V4)/(S4+T4+V4)</f>
        <v>0.7</v>
      </c>
      <c r="Q4" s="13">
        <f t="array" ref="Q4">SUM(J4:K4*S4:T4)/SUM(S4:T4)</f>
        <v>0.8333333333</v>
      </c>
      <c r="S4" s="14">
        <f t="array" ref="S4">INDEX(INDIRECT(INDEX($F$4,0) &amp; "!$C$14"),0)</f>
        <v>3</v>
      </c>
      <c r="T4" s="14">
        <f t="array" ref="T4">INDEX(INDIRECT(INDEX($F$4,0) &amp; "!$C$15"),0)</f>
        <v>3</v>
      </c>
      <c r="U4" s="14">
        <f t="array" ref="U4">INDEX(INDIRECT(INDEX($F$4,0) &amp; "!$C$16"),0)</f>
        <v>4</v>
      </c>
      <c r="V4" s="14">
        <f t="array" ref="V4">INDEX(INDIRECT(INDEX($F$4,0) &amp; "!$C$17"),0)</f>
        <v>4</v>
      </c>
      <c r="W4" s="15">
        <f t="shared" ref="W4:W10" si="2">SUM(S4:V4)</f>
        <v>14</v>
      </c>
      <c r="Y4" s="9">
        <f t="array" ref="Y4">INDEX(INDIRECT(INDEX($F$4,0) &amp; "!$D$2"),0)</f>
        <v>0.03448275862</v>
      </c>
      <c r="Z4" s="9">
        <f t="array" ref="Z4">INDEX(INDIRECT(INDEX($F$4,0) &amp; "!$D$3"),0)</f>
        <v>0.2068965517</v>
      </c>
      <c r="AA4" s="9">
        <f t="array" ref="AA4">INDEX(INDIRECT(INDEX($F$4,0) &amp; "!$D$4"),0)</f>
        <v>0.1034482759</v>
      </c>
      <c r="AB4" s="9">
        <f t="array" ref="AB4">INDEX(INDIRECT(INDEX($F$4,0) &amp; "!$D$5"),0)</f>
        <v>0.275862069</v>
      </c>
      <c r="AC4" s="9">
        <f t="array" ref="AC4">INDEX(INDIRECT(INDEX($F$4,0) &amp; "!$D$6"),0)</f>
        <v>0.3793103448</v>
      </c>
      <c r="AE4" s="3">
        <f t="array" ref="AE4">INDEX(INDIRECT(INDEX($F$4,0) &amp; "!$C$2"),0)</f>
        <v>1</v>
      </c>
      <c r="AF4" s="3">
        <f t="array" ref="AF4">INDEX(INDIRECT(INDEX($F$4,0) &amp; "!$C$3"),0)</f>
        <v>6</v>
      </c>
      <c r="AG4" s="3">
        <f t="array" ref="AG4">INDEX(INDIRECT(INDEX($F$4,0) &amp; "!$C$4"),0)</f>
        <v>3</v>
      </c>
      <c r="AH4" s="3">
        <f t="array" ref="AH4">INDEX(INDIRECT(INDEX($F$4,0) &amp; "!$C$5"),0)</f>
        <v>8</v>
      </c>
      <c r="AI4" s="3">
        <f t="array" ref="AI4">INDEX(INDIRECT(INDEX($F$4,0) &amp; "!$C$6"),0)</f>
        <v>11</v>
      </c>
      <c r="AJ4" s="16">
        <f t="shared" ref="AJ4:AJ10" si="3">SUM(AE4:AI4)</f>
        <v>29</v>
      </c>
    </row>
    <row r="5">
      <c r="A5" s="1" t="s">
        <v>23</v>
      </c>
      <c r="B5" s="9">
        <f t="array" ref="B5">INDEX(INDIRECT(INDEX($F$5,0) &amp; "!$D$8"),0)</f>
        <v>0.5128205128</v>
      </c>
      <c r="C5" s="9">
        <f t="array" ref="C5">INDEX(INDIRECT(INDEX($G$5,0) &amp; "!$D$8"),0)</f>
        <v>0.75</v>
      </c>
      <c r="D5" s="9">
        <f t="array" ref="D5">INDEX(INDIRECT(INDEX($H$5,0) &amp; "!$D$8"),0)</f>
        <v>0.6666666667</v>
      </c>
      <c r="F5" s="11" t="s">
        <v>24</v>
      </c>
      <c r="G5" s="11" t="s">
        <v>25</v>
      </c>
      <c r="H5" s="11" t="s">
        <v>26</v>
      </c>
      <c r="J5" s="9">
        <f t="array" ref="J5">INDEX(INDIRECT(INDEX($F$5,0) &amp; "!$D$14"),0)</f>
        <v>1</v>
      </c>
      <c r="K5" s="9">
        <f t="array" ref="K5">INDEX(INDIRECT(INDEX($F$5,0) &amp; "!$D$15"),0)</f>
        <v>0.5</v>
      </c>
      <c r="L5" s="9">
        <f t="array" ref="L5">INDEX(INDIRECT(INDEX($F$5,0) &amp; "!$D$16"),0)</f>
        <v>0.5</v>
      </c>
      <c r="M5" s="9">
        <f t="array" ref="M5">INDEX(INDIRECT(INDEX($F$5,0) &amp; "!$D$17"),0)</f>
        <v>0.4444444444</v>
      </c>
      <c r="N5" s="12">
        <f t="array" ref="N5">SUM(J5:M5*S5:V5)/W5</f>
        <v>0.5555555556</v>
      </c>
      <c r="O5" s="13">
        <f t="array" ref="O5">SUM(J5:L5*S5:U5)/SUM(S5:U5)</f>
        <v>0.6666666667</v>
      </c>
      <c r="P5" s="13">
        <f t="shared" si="1"/>
        <v>0.5714285714</v>
      </c>
      <c r="Q5" s="13">
        <f t="array" ref="Q5">SUM(J5:K5*S5:T5)/SUM(S5:T5)</f>
        <v>0.8</v>
      </c>
      <c r="S5" s="14">
        <f t="array" ref="S5">INDEX(INDIRECT(INDEX($F$5,0) &amp; "!$C$14"),0)</f>
        <v>3</v>
      </c>
      <c r="T5" s="14">
        <f t="array" ref="T5">INDEX(INDIRECT(INDEX($F$5,0) &amp; "!$C$15"),0)</f>
        <v>2</v>
      </c>
      <c r="U5" s="14">
        <f t="array" ref="U5">INDEX(INDIRECT(INDEX($F$5,0) &amp; "!$C$16"),0)</f>
        <v>4</v>
      </c>
      <c r="V5" s="14">
        <f t="array" ref="V5">INDEX(INDIRECT(INDEX($F$5,0) &amp; "!$C$17"),0)</f>
        <v>9</v>
      </c>
      <c r="W5" s="15">
        <f t="shared" si="2"/>
        <v>18</v>
      </c>
      <c r="Y5" s="9">
        <f t="array" ref="Y5">INDEX(INDIRECT(INDEX($F$5,0) &amp; "!$D$2"),0)</f>
        <v>0.05128205128</v>
      </c>
      <c r="Z5" s="9">
        <f t="array" ref="Z5">INDEX(INDIRECT(INDEX($F$5,0) &amp; "!$D$3"),0)</f>
        <v>0.1282051282</v>
      </c>
      <c r="AA5" s="9">
        <f t="array" ref="AA5">INDEX(INDIRECT(INDEX($F$5,0) &amp; "!$D$4"),0)</f>
        <v>0.3076923077</v>
      </c>
      <c r="AB5" s="9">
        <f t="array" ref="AB5">INDEX(INDIRECT(INDEX($F$5,0) &amp; "!$D$5"),0)</f>
        <v>0.1538461538</v>
      </c>
      <c r="AC5" s="9">
        <f t="array" ref="AC5">INDEX(INDIRECT(INDEX($F$5,0) &amp; "!$D$6"),0)</f>
        <v>0.358974359</v>
      </c>
      <c r="AE5" s="3">
        <f t="array" ref="AE5">INDEX(INDIRECT(INDEX($F$5,0) &amp; "!$C$2"),0)</f>
        <v>2</v>
      </c>
      <c r="AF5" s="3">
        <f t="array" ref="AF5">INDEX(INDIRECT(INDEX($F$5,0) &amp; "!$C$3"),0)</f>
        <v>5</v>
      </c>
      <c r="AG5" s="3">
        <f t="array" ref="AG5">INDEX(INDIRECT(INDEX($F$5,0) &amp; "!$C$4"),0)</f>
        <v>12</v>
      </c>
      <c r="AH5" s="3">
        <f t="array" ref="AH5">INDEX(INDIRECT(INDEX($F$5,0) &amp; "!$C$5"),0)</f>
        <v>6</v>
      </c>
      <c r="AI5" s="3">
        <f t="array" ref="AI5">INDEX(INDIRECT(INDEX($F$5,0) &amp; "!$C$6"),0)</f>
        <v>14</v>
      </c>
      <c r="AJ5" s="16">
        <f t="shared" si="3"/>
        <v>39</v>
      </c>
    </row>
    <row r="6">
      <c r="A6" s="1" t="s">
        <v>27</v>
      </c>
      <c r="B6" s="9">
        <f t="array" ref="B6">INDEX(INDIRECT(INDEX($F$6,0) &amp; "!$D$8"),0)</f>
        <v>0.6285714286</v>
      </c>
      <c r="C6" s="9">
        <f t="array" ref="C6">INDEX(INDIRECT(INDEX($G$6,0) &amp; "!$D$8"),0)</f>
        <v>0.85</v>
      </c>
      <c r="D6" s="9">
        <f t="array" ref="D6">INDEX(INDIRECT(INDEX($H$6,0) &amp; "!$D$8"),0)</f>
        <v>0.75</v>
      </c>
      <c r="F6" s="11" t="s">
        <v>28</v>
      </c>
      <c r="G6" s="11" t="s">
        <v>29</v>
      </c>
      <c r="H6" s="11" t="s">
        <v>30</v>
      </c>
      <c r="J6" s="9">
        <f t="array" ref="J6">INDEX(INDIRECT(INDEX($F$6,0) &amp; "!$D$14"),0)</f>
        <v>1</v>
      </c>
      <c r="K6" s="9">
        <f t="array" ref="K6">INDEX(INDIRECT(INDEX($F$6,0) &amp; "!$D$15"),0)</f>
        <v>0.6666666667</v>
      </c>
      <c r="L6" s="9">
        <f t="array" ref="L6">INDEX(INDIRECT(INDEX($F$6,0) &amp; "!$D$16"),0)</f>
        <v>0.5</v>
      </c>
      <c r="M6" s="9">
        <f t="array" ref="M6">INDEX(INDIRECT(INDEX($F$6,0) &amp; "!$D$17"),0)</f>
        <v>0.75</v>
      </c>
      <c r="N6" s="12">
        <f t="array" ref="N6">SUM(J6:M6*S6:V6)/W6</f>
        <v>0.7222222222</v>
      </c>
      <c r="O6" s="13">
        <f t="array" ref="O6">SUM(J6:L6*S6:U6)/SUM(S6:U6)</f>
        <v>0.7</v>
      </c>
      <c r="P6" s="13">
        <f t="shared" si="1"/>
        <v>0.7857142857</v>
      </c>
      <c r="Q6" s="13">
        <f t="array" ref="Q6">SUM(J6:K6*S6:T6)/SUM(S6:T6)</f>
        <v>0.8333333333</v>
      </c>
      <c r="S6" s="14">
        <f t="array" ref="S6">INDEX(INDIRECT(INDEX($F$6,0) &amp; "!$C$14"),0)</f>
        <v>3</v>
      </c>
      <c r="T6" s="14">
        <f t="array" ref="T6">INDEX(INDIRECT(INDEX($F$6,0) &amp; "!$C$15"),0)</f>
        <v>3</v>
      </c>
      <c r="U6" s="14">
        <f t="array" ref="U6">INDEX(INDIRECT(INDEX($F$6,0) &amp; "!$C$16"),0)</f>
        <v>4</v>
      </c>
      <c r="V6" s="14">
        <f t="array" ref="V6">INDEX(INDIRECT(INDEX($F$6,0) &amp; "!$C$17"),0)</f>
        <v>8</v>
      </c>
      <c r="W6" s="15">
        <f t="shared" si="2"/>
        <v>18</v>
      </c>
      <c r="Y6" s="9">
        <f t="array" ref="Y6">INDEX(INDIRECT(INDEX($F$6,0) &amp; "!$D$2"),0)</f>
        <v>0.05714285714</v>
      </c>
      <c r="Z6" s="9">
        <f t="array" ref="Z6">INDEX(INDIRECT(INDEX($F$6,0) &amp; "!$D$3"),0)</f>
        <v>0.1428571429</v>
      </c>
      <c r="AA6" s="9">
        <f t="array" ref="AA6">INDEX(INDIRECT(INDEX($F$6,0) &amp; "!$D$4"),0)</f>
        <v>0.1714285714</v>
      </c>
      <c r="AB6" s="9">
        <f t="array" ref="AB6">INDEX(INDIRECT(INDEX($F$6,0) &amp; "!$D$5"),0)</f>
        <v>0.3428571429</v>
      </c>
      <c r="AC6" s="9">
        <f t="array" ref="AC6">INDEX(INDIRECT(INDEX($F$6,0) &amp; "!$D$6"),0)</f>
        <v>0.2857142857</v>
      </c>
      <c r="AE6" s="3">
        <f t="array" ref="AE6">INDEX(INDIRECT(INDEX($F$6,0) &amp; "!$C$2"),0)</f>
        <v>2</v>
      </c>
      <c r="AF6" s="3">
        <f t="array" ref="AF6">INDEX(INDIRECT(INDEX($F$6,0) &amp; "!$C$3"),0)</f>
        <v>5</v>
      </c>
      <c r="AG6" s="3">
        <f t="array" ref="AG6">INDEX(INDIRECT(INDEX($F$6,0) &amp; "!$C$4"),0)</f>
        <v>6</v>
      </c>
      <c r="AH6" s="3">
        <f t="array" ref="AH6">INDEX(INDIRECT(INDEX($F$6,0) &amp; "!$C$5"),0)</f>
        <v>12</v>
      </c>
      <c r="AI6" s="3">
        <f t="array" ref="AI6">INDEX(INDIRECT(INDEX($F$6,0) &amp; "!$C$6"),0)</f>
        <v>10</v>
      </c>
      <c r="AJ6" s="16">
        <f t="shared" si="3"/>
        <v>35</v>
      </c>
    </row>
    <row r="7">
      <c r="A7" s="1" t="s">
        <v>31</v>
      </c>
      <c r="B7" s="9">
        <f t="array" ref="B7">INDEX(INDIRECT(INDEX($F$7,0) &amp; "!$D$8"),0)</f>
        <v>0.5918367347</v>
      </c>
      <c r="C7" s="9">
        <f t="array" ref="C7">INDEX(INDIRECT(INDEX($G$7,0) &amp; "!$D$8"),0)</f>
        <v>0.7666666667</v>
      </c>
      <c r="D7" s="9">
        <f t="array" ref="D7">INDEX(INDIRECT(INDEX($H$7,0) &amp; "!$D$8"),0)</f>
        <v>0.7142857143</v>
      </c>
      <c r="F7" s="11" t="s">
        <v>32</v>
      </c>
      <c r="G7" s="11" t="s">
        <v>33</v>
      </c>
      <c r="H7" s="11" t="s">
        <v>34</v>
      </c>
      <c r="J7" s="9">
        <f t="array" ref="J7">INDEX(INDIRECT(INDEX($F$7,0) &amp; "!$D$14"),0)</f>
        <v>0.3333333333</v>
      </c>
      <c r="K7" s="9">
        <f t="array" ref="K7">INDEX(INDIRECT(INDEX($F$7,0) &amp; "!$D$15"),0)</f>
        <v>0.4285714286</v>
      </c>
      <c r="L7" s="9">
        <f t="array" ref="L7">INDEX(INDIRECT(INDEX($F$7,0) &amp; "!$D$16"),0)</f>
        <v>0.5</v>
      </c>
      <c r="M7" s="9">
        <f t="array" ref="M7">INDEX(INDIRECT(INDEX($F$7,0) &amp; "!$D$17"),0)</f>
        <v>0.4444444444</v>
      </c>
      <c r="N7" s="12">
        <f t="array" ref="N7">SUM(J7:M7*S7:V7)/W7</f>
        <v>0.4347826087</v>
      </c>
      <c r="O7" s="13">
        <f t="array" ref="O7">SUM(J7:L7*S7:U7)/SUM(S7:U7)</f>
        <v>0.4285714286</v>
      </c>
      <c r="P7" s="13">
        <f t="shared" si="1"/>
        <v>0.4210526316</v>
      </c>
      <c r="Q7" s="13">
        <f t="array" ref="Q7">SUM(J7:K7*S7:T7)/SUM(S7:T7)</f>
        <v>0.4</v>
      </c>
      <c r="S7" s="14">
        <f t="array" ref="S7">INDEX(INDIRECT(INDEX($F$7,0) &amp; "!$C$14"),0)</f>
        <v>3</v>
      </c>
      <c r="T7" s="14">
        <f t="array" ref="T7">INDEX(INDIRECT(INDEX($F$7,0) &amp; "!$C$15"),0)</f>
        <v>7</v>
      </c>
      <c r="U7" s="14">
        <f t="array" ref="U7">INDEX(INDIRECT(INDEX($F$7,0) &amp; "!$C$16"),0)</f>
        <v>4</v>
      </c>
      <c r="V7" s="14">
        <f t="array" ref="V7">INDEX(INDIRECT(INDEX($F$7,0) &amp; "!$C$17"),0)</f>
        <v>9</v>
      </c>
      <c r="W7" s="15">
        <f t="shared" si="2"/>
        <v>23</v>
      </c>
      <c r="Y7" s="9">
        <f t="array" ref="Y7">INDEX(INDIRECT(INDEX($F$7,0) &amp; "!$D$2"),0)</f>
        <v>0.04081632653</v>
      </c>
      <c r="Z7" s="9">
        <f t="array" ref="Z7">INDEX(INDIRECT(INDEX($F$7,0) &amp; "!$D$3"),0)</f>
        <v>0.2448979592</v>
      </c>
      <c r="AA7" s="9">
        <f t="array" ref="AA7">INDEX(INDIRECT(INDEX($F$7,0) &amp; "!$D$4"),0)</f>
        <v>0.1224489796</v>
      </c>
      <c r="AB7" s="9">
        <f t="array" ref="AB7">INDEX(INDIRECT(INDEX($F$7,0) &amp; "!$D$5"),0)</f>
        <v>0.2040816327</v>
      </c>
      <c r="AC7" s="9">
        <f t="array" ref="AC7">INDEX(INDIRECT(INDEX($F$7,0) &amp; "!$D$6"),0)</f>
        <v>0.387755102</v>
      </c>
      <c r="AE7" s="3">
        <f t="array" ref="AE7">INDEX(INDIRECT(INDEX($F$7,0) &amp; "!$C$2"),0)</f>
        <v>2</v>
      </c>
      <c r="AF7" s="3">
        <f t="array" ref="AF7">INDEX(INDIRECT(INDEX($F$7,0) &amp; "!$C$3"),0)</f>
        <v>12</v>
      </c>
      <c r="AG7" s="3">
        <f t="array" ref="AG7">INDEX(INDIRECT(INDEX($F$7,0) &amp; "!$C$4"),0)</f>
        <v>6</v>
      </c>
      <c r="AH7" s="3">
        <f t="array" ref="AH7">INDEX(INDIRECT(INDEX($F$7,0) &amp; "!$C$5"),0)</f>
        <v>10</v>
      </c>
      <c r="AI7" s="3">
        <f t="array" ref="AI7">INDEX(INDIRECT(INDEX($F$7,0) &amp; "!$C$6"),0)</f>
        <v>19</v>
      </c>
      <c r="AJ7" s="16">
        <f t="shared" si="3"/>
        <v>49</v>
      </c>
    </row>
    <row r="8">
      <c r="A8" s="1" t="s">
        <v>35</v>
      </c>
      <c r="B8" s="9">
        <f t="array" ref="B8">INDEX(INDIRECT(INDEX($F$8,0) &amp; "!$D$8"),0)</f>
        <v>0.4375</v>
      </c>
      <c r="C8" s="9">
        <f t="array" ref="C8">INDEX(INDIRECT(INDEX($G$8,0) &amp; "!$D$8"),0)</f>
        <v>0.5</v>
      </c>
      <c r="D8" s="9">
        <f t="array" ref="D8">INDEX(INDIRECT(INDEX($H$8,0) &amp; "!$D$8"),0)</f>
        <v>0.7083333333</v>
      </c>
      <c r="F8" s="11" t="s">
        <v>36</v>
      </c>
      <c r="G8" s="11" t="s">
        <v>37</v>
      </c>
      <c r="H8" s="11" t="s">
        <v>38</v>
      </c>
      <c r="J8" s="9">
        <f t="array" ref="J8">INDEX(INDIRECT(INDEX($F$8,0) &amp; "!$D$14"),0)</f>
        <v>1</v>
      </c>
      <c r="K8" s="9">
        <f t="array" ref="K8">INDEX(INDIRECT(INDEX($F$8,0) &amp; "!$D$15"),0)</f>
        <v>0</v>
      </c>
      <c r="L8" s="9">
        <f t="array" ref="L8">INDEX(INDIRECT(INDEX($F$8,0) &amp; "!$D$16"),0)</f>
        <v>0.25</v>
      </c>
      <c r="M8" s="9">
        <f t="array" ref="M8">INDEX(INDIRECT(INDEX($F$8,0) &amp; "!$D$17"),0)</f>
        <v>0.6</v>
      </c>
      <c r="N8" s="12">
        <f t="array" ref="N8">SUM(J8:M8*S8:V8)/W8</f>
        <v>0.5625</v>
      </c>
      <c r="O8" s="13">
        <f t="array" ref="O8">SUM(J8:L8*S8:U8)/SUM(S8:U8)</f>
        <v>0.5</v>
      </c>
      <c r="P8" s="13">
        <f t="shared" si="1"/>
        <v>0.6666666667</v>
      </c>
      <c r="Q8" s="13">
        <f t="array" ref="Q8">SUM(J8:K8*S8:T8)/SUM(S8:T8)</f>
        <v>1</v>
      </c>
      <c r="S8" s="14">
        <f t="array" ref="S8">INDEX(INDIRECT(INDEX($F$8,0) &amp; "!$C$14"),0)</f>
        <v>2</v>
      </c>
      <c r="T8" s="14">
        <f t="array" ref="T8">INDEX(INDIRECT(INDEX($F$8,0) &amp; "!$C$15"),0)</f>
        <v>0</v>
      </c>
      <c r="U8" s="14">
        <f t="array" ref="U8">INDEX(INDIRECT(INDEX($F$8,0) &amp; "!$C$16"),0)</f>
        <v>4</v>
      </c>
      <c r="V8" s="14">
        <f t="array" ref="V8">INDEX(INDIRECT(INDEX($F$8,0) &amp; "!$C$17"),0)</f>
        <v>10</v>
      </c>
      <c r="W8" s="15">
        <f t="shared" si="2"/>
        <v>16</v>
      </c>
      <c r="Y8" s="9">
        <f t="array" ref="Y8">INDEX(INDIRECT(INDEX($F$8,0) &amp; "!$D$2"),0)</f>
        <v>0.125</v>
      </c>
      <c r="Z8" s="9">
        <f t="array" ref="Z8">INDEX(INDIRECT(INDEX($F$8,0) &amp; "!$D$3"),0)</f>
        <v>0.15625</v>
      </c>
      <c r="AA8" s="9">
        <f t="array" ref="AA8">INDEX(INDIRECT(INDEX($F$8,0) &amp; "!$D$4"),0)</f>
        <v>0.28125</v>
      </c>
      <c r="AB8" s="9">
        <f t="array" ref="AB8">INDEX(INDIRECT(INDEX($F$8,0) &amp; "!$D$5"),0)</f>
        <v>0.25</v>
      </c>
      <c r="AC8" s="9">
        <f t="array" ref="AC8">INDEX(INDIRECT(INDEX($F$8,0) &amp; "!$D$6"),0)</f>
        <v>0.1875</v>
      </c>
      <c r="AE8" s="3">
        <f t="array" ref="AE8">INDEX(INDIRECT(INDEX($F$8,0) &amp; "!$C$2"),0)</f>
        <v>4</v>
      </c>
      <c r="AF8" s="3">
        <f t="array" ref="AF8">INDEX(INDIRECT(INDEX($F$8,0) &amp; "!$C$3"),0)</f>
        <v>5</v>
      </c>
      <c r="AG8" s="3">
        <f t="array" ref="AG8">INDEX(INDIRECT(INDEX($F$8,0) &amp; "!$C$4"),0)</f>
        <v>9</v>
      </c>
      <c r="AH8" s="3">
        <f t="array" ref="AH8">INDEX(INDIRECT(INDEX($F$8,0) &amp; "!$C$5"),0)</f>
        <v>8</v>
      </c>
      <c r="AI8" s="3">
        <f t="array" ref="AI8">INDEX(INDIRECT(INDEX($F$8,0) &amp; "!$C$6"),0)</f>
        <v>6</v>
      </c>
      <c r="AJ8" s="16">
        <f t="shared" si="3"/>
        <v>32</v>
      </c>
    </row>
    <row r="9">
      <c r="A9" s="1" t="s">
        <v>39</v>
      </c>
      <c r="B9" s="9">
        <f t="array" ref="B9">INDEX(INDIRECT(INDEX($F$9,0) &amp; "!$D$8"),0)</f>
        <v>0.4186046512</v>
      </c>
      <c r="C9" s="9">
        <f t="array" ref="C9">INDEX(INDIRECT(INDEX($G$9,0) &amp; "!$D$8"),0)</f>
        <v>0.7083333333</v>
      </c>
      <c r="D9" s="9">
        <f t="array" ref="D9">INDEX(INDIRECT(INDEX($H$9,0) &amp; "!$D$8"),0)</f>
        <v>0.6756756757</v>
      </c>
      <c r="E9" s="17" t="s">
        <v>40</v>
      </c>
      <c r="F9" s="11" t="s">
        <v>41</v>
      </c>
      <c r="G9" s="11" t="s">
        <v>42</v>
      </c>
      <c r="H9" s="11" t="s">
        <v>43</v>
      </c>
      <c r="J9" s="9">
        <f t="array" ref="J9">INDEX(INDIRECT(INDEX($F$9,0) &amp; "!$D$14"),0)</f>
        <v>1</v>
      </c>
      <c r="K9" s="9">
        <f t="array" ref="K9">INDEX(INDIRECT(INDEX($F$9,0) &amp; "!$D$15"),0)</f>
        <v>0.5</v>
      </c>
      <c r="L9" s="9">
        <f t="array" ref="L9">INDEX(INDIRECT(INDEX($F$9,0) &amp; "!$D$16"),0)</f>
        <v>0.25</v>
      </c>
      <c r="M9" s="9">
        <f t="array" ref="M9">INDEX(INDIRECT(INDEX($F$9,0) &amp; "!$D$17"),0)</f>
        <v>0.7142857143</v>
      </c>
      <c r="N9" s="12">
        <f t="array" ref="N9">SUM(J9:M9*S9:V9)/W9</f>
        <v>0.6</v>
      </c>
      <c r="O9" s="13">
        <f t="array" ref="O9">SUM(J9:L9*S9:U9)/SUM(S9:U9)</f>
        <v>0.5</v>
      </c>
      <c r="P9" s="13">
        <f t="shared" si="1"/>
        <v>0.7272727273</v>
      </c>
      <c r="Q9" s="13">
        <f t="array" ref="Q9">SUM(J9:K9*S9:T9)/SUM(S9:T9)</f>
        <v>0.75</v>
      </c>
      <c r="S9" s="14">
        <f t="array" ref="S9">INDEX(INDIRECT(INDEX($F$9,0) &amp; "!$C$14"),0)</f>
        <v>2</v>
      </c>
      <c r="T9" s="14">
        <f t="array" ref="T9">INDEX(INDIRECT(INDEX($F$9,0) &amp; "!$C$15"),0)</f>
        <v>2</v>
      </c>
      <c r="U9" s="14">
        <f t="array" ref="U9">INDEX(INDIRECT(INDEX($F$9,0) &amp; "!$C$16"),0)</f>
        <v>4</v>
      </c>
      <c r="V9" s="14">
        <f t="array" ref="V9">INDEX(INDIRECT(INDEX($F$9,0) &amp; "!$C$17"),0)</f>
        <v>7</v>
      </c>
      <c r="W9" s="15">
        <f t="shared" si="2"/>
        <v>15</v>
      </c>
      <c r="Y9" s="9">
        <f t="array" ref="Y9">INDEX(INDIRECT(INDEX($F$9,0) &amp; "!$D$2"),0)</f>
        <v>0.04651162791</v>
      </c>
      <c r="Z9" s="9">
        <f t="array" ref="Z9">INDEX(INDIRECT(INDEX($F$9,0) &amp; "!$D$3"),0)</f>
        <v>0.2790697674</v>
      </c>
      <c r="AA9" s="9">
        <f t="array" ref="AA9">INDEX(INDIRECT(INDEX($F$9,0) &amp; "!$D$4"),0)</f>
        <v>0.2558139535</v>
      </c>
      <c r="AB9" s="9">
        <f t="array" ref="AB9">INDEX(INDIRECT(INDEX($F$9,0) &amp; "!$D$5"),0)</f>
        <v>0.1860465116</v>
      </c>
      <c r="AC9" s="9">
        <f t="array" ref="AC9">INDEX(INDIRECT(INDEX($F$9,0) &amp; "!$D$6"),0)</f>
        <v>0.2325581395</v>
      </c>
      <c r="AE9" s="3">
        <f t="array" ref="AE9">INDEX(INDIRECT(INDEX($F$9,0) &amp; "!$C$2"),0)</f>
        <v>2</v>
      </c>
      <c r="AF9" s="3">
        <f t="array" ref="AF9">INDEX(INDIRECT(INDEX($F$9,0) &amp; "!$C$3"),0)</f>
        <v>12</v>
      </c>
      <c r="AG9" s="3">
        <f t="array" ref="AG9">INDEX(INDIRECT(INDEX($F$9,0) &amp; "!$C$4"),0)</f>
        <v>11</v>
      </c>
      <c r="AH9" s="3">
        <f t="array" ref="AH9">INDEX(INDIRECT(INDEX($F$9,0) &amp; "!$C$5"),0)</f>
        <v>8</v>
      </c>
      <c r="AI9" s="3">
        <f t="array" ref="AI9">INDEX(INDIRECT(INDEX($F$9,0) &amp; "!$C$6"),0)</f>
        <v>10</v>
      </c>
      <c r="AJ9" s="16">
        <f t="shared" si="3"/>
        <v>43</v>
      </c>
    </row>
    <row r="10">
      <c r="A10" s="1" t="s">
        <v>44</v>
      </c>
      <c r="B10" s="18">
        <f t="shared" ref="B10:D10" si="4">AVERAGE(B$4:B9)</f>
        <v>0.5407509568</v>
      </c>
      <c r="C10" s="18">
        <f t="shared" si="4"/>
        <v>0.7098684211</v>
      </c>
      <c r="D10" s="18">
        <f t="shared" si="4"/>
        <v>0.7140320265</v>
      </c>
      <c r="E10" s="19"/>
      <c r="F10" s="19"/>
      <c r="J10" s="18">
        <f t="shared" ref="J10:Q10" si="5">AVERAGE(J4:J9)</f>
        <v>0.8888888889</v>
      </c>
      <c r="K10" s="18">
        <f t="shared" si="5"/>
        <v>0.4603174603</v>
      </c>
      <c r="L10" s="18">
        <f t="shared" si="5"/>
        <v>0.375</v>
      </c>
      <c r="M10" s="18">
        <f t="shared" si="5"/>
        <v>0.5755291005</v>
      </c>
      <c r="N10" s="20">
        <f t="shared" si="5"/>
        <v>0.5744148263</v>
      </c>
      <c r="O10" s="18">
        <f t="shared" si="5"/>
        <v>0.5658730159</v>
      </c>
      <c r="P10" s="18">
        <f t="shared" si="5"/>
        <v>0.6453558138</v>
      </c>
      <c r="Q10" s="18">
        <f t="shared" si="5"/>
        <v>0.7694444444</v>
      </c>
      <c r="S10" s="21">
        <f t="shared" ref="S10:V10" si="6">SUM(S4:S9)</f>
        <v>16</v>
      </c>
      <c r="T10" s="21">
        <f t="shared" si="6"/>
        <v>17</v>
      </c>
      <c r="U10" s="21">
        <f t="shared" si="6"/>
        <v>24</v>
      </c>
      <c r="V10" s="21">
        <f t="shared" si="6"/>
        <v>47</v>
      </c>
      <c r="W10" s="22">
        <f t="shared" si="2"/>
        <v>104</v>
      </c>
      <c r="Y10" s="18">
        <f t="shared" ref="Y10:AC10" si="7">AVERAGE(Y$4:Y9)</f>
        <v>0.05920593691</v>
      </c>
      <c r="Z10" s="18">
        <f t="shared" si="7"/>
        <v>0.1930294249</v>
      </c>
      <c r="AA10" s="18">
        <f t="shared" si="7"/>
        <v>0.2070136813</v>
      </c>
      <c r="AB10" s="18">
        <f t="shared" si="7"/>
        <v>0.2354489183</v>
      </c>
      <c r="AC10" s="18">
        <f t="shared" si="7"/>
        <v>0.3053020385</v>
      </c>
      <c r="AD10" s="23">
        <f t="shared" ref="AD10:AD11" si="10">SUM(Y10:AC10)</f>
        <v>1</v>
      </c>
      <c r="AE10" s="24">
        <f t="shared" ref="AE10:AI10" si="8">SUM(AE4:AE9)</f>
        <v>13</v>
      </c>
      <c r="AF10" s="24">
        <f t="shared" si="8"/>
        <v>45</v>
      </c>
      <c r="AG10" s="24">
        <f t="shared" si="8"/>
        <v>47</v>
      </c>
      <c r="AH10" s="24">
        <f t="shared" si="8"/>
        <v>52</v>
      </c>
      <c r="AI10" s="24">
        <f t="shared" si="8"/>
        <v>70</v>
      </c>
      <c r="AJ10" s="25">
        <f t="shared" si="3"/>
        <v>227</v>
      </c>
    </row>
    <row r="11">
      <c r="A11" s="1" t="s">
        <v>45</v>
      </c>
      <c r="B11" s="9">
        <f t="array" ref="B11">SUM($B4:$B9*$AJ4:$AJ9)/$AJ10</f>
        <v>0.5374449339</v>
      </c>
      <c r="C11" s="9">
        <f t="array" ref="C11">SUM($C4:$C9*$AJ18:$AJ23)/$AJ24</f>
        <v>0.7153284672</v>
      </c>
      <c r="D11" s="9">
        <f t="array" ref="D11">SUM($D4:$D9*$AJ32:$AJ37)/$AJ38</f>
        <v>0.7142857143</v>
      </c>
      <c r="E11" s="19"/>
      <c r="F11" s="19"/>
      <c r="J11" s="13">
        <f t="array" ref="J11">SUM(J4:J9*S4:S9)/S10</f>
        <v>0.875</v>
      </c>
      <c r="K11" s="13">
        <f t="array" ref="K11">SUM(K4:K9*T4:T9)/T10</f>
        <v>0.5294117647</v>
      </c>
      <c r="L11" s="13">
        <f t="array" ref="L11">SUM(L4:L9*U4:U9)/U10</f>
        <v>0.375</v>
      </c>
      <c r="M11" s="13">
        <f t="array" ref="M11">SUM(M4:M9*V4:V9)/V10</f>
        <v>0.5744680851</v>
      </c>
      <c r="N11" s="12">
        <f t="array" ref="N11">SUM(N4:N9*W4:W9)/W10</f>
        <v>0.5673076923</v>
      </c>
      <c r="O11" s="13">
        <f t="array" ref="O11">SUM(O4:O9*W4:W9-V4:V9)/SUM(S10:U10)</f>
        <v>0.5614035088</v>
      </c>
      <c r="P11" s="13">
        <f t="array" ref="P11">SUM(P4:P9*W4:W9-U4:U9)/(SUM(S10:V10)-U10)</f>
        <v>0.625</v>
      </c>
      <c r="Q11" s="13">
        <f t="array" ref="Q11">SUM(Q4:Q9*S4:S9+T4:T9)/SUM(S10:T10)</f>
        <v>0.696969697</v>
      </c>
      <c r="Y11" s="13">
        <f t="shared" ref="Y11:AC11" si="9">AE10/$AJ10</f>
        <v>0.05726872247</v>
      </c>
      <c r="Z11" s="13">
        <f t="shared" si="9"/>
        <v>0.1982378855</v>
      </c>
      <c r="AA11" s="13">
        <f t="shared" si="9"/>
        <v>0.2070484581</v>
      </c>
      <c r="AB11" s="13">
        <f t="shared" si="9"/>
        <v>0.2290748899</v>
      </c>
      <c r="AC11" s="13">
        <f t="shared" si="9"/>
        <v>0.3083700441</v>
      </c>
      <c r="AD11" s="23">
        <f t="shared" si="10"/>
        <v>1</v>
      </c>
      <c r="AF11" s="26"/>
      <c r="AG11" s="26"/>
    </row>
    <row r="12">
      <c r="B12" s="4" t="s">
        <v>46</v>
      </c>
      <c r="C12" s="9">
        <f t="shared" ref="C12:C13" si="11">C10-B10</f>
        <v>0.1691174642</v>
      </c>
      <c r="D12" s="9">
        <f t="shared" ref="D12:D13" si="12">D10-B10</f>
        <v>0.1732810697</v>
      </c>
      <c r="E12" s="19"/>
      <c r="F12" s="27"/>
      <c r="L12" s="17" t="s">
        <v>40</v>
      </c>
      <c r="M12" s="17" t="s">
        <v>40</v>
      </c>
      <c r="O12" s="17" t="s">
        <v>40</v>
      </c>
      <c r="X12" s="4"/>
      <c r="Y12" s="4"/>
      <c r="Z12" s="4"/>
      <c r="AA12" s="4"/>
      <c r="AB12" s="4"/>
      <c r="AC12" s="4"/>
      <c r="AD12" s="13">
        <f>Y11+AB11+AC11</f>
        <v>0.5947136564</v>
      </c>
      <c r="AE12" s="1" t="s">
        <v>47</v>
      </c>
      <c r="AG12" s="26"/>
    </row>
    <row r="13">
      <c r="B13" s="4" t="s">
        <v>48</v>
      </c>
      <c r="C13" s="9">
        <f t="shared" si="11"/>
        <v>0.1778835332</v>
      </c>
      <c r="D13" s="9">
        <f t="shared" si="12"/>
        <v>0.1768407804</v>
      </c>
      <c r="E13" s="19"/>
      <c r="F13" s="27"/>
      <c r="AD13" s="13">
        <f>AB11+AC11</f>
        <v>0.5374449339</v>
      </c>
      <c r="AE13" s="1" t="s">
        <v>18</v>
      </c>
    </row>
    <row r="14">
      <c r="B14" s="28" t="s">
        <v>49</v>
      </c>
      <c r="C14" s="29">
        <f>TTEST(B$4:B9, C$4:C9, 1, 1)</f>
        <v>0.00503085649</v>
      </c>
      <c r="D14" s="30">
        <v>0.031</v>
      </c>
      <c r="E14" s="31" t="s">
        <v>50</v>
      </c>
      <c r="F14" s="27"/>
    </row>
    <row r="15">
      <c r="A15" s="1" t="s">
        <v>51</v>
      </c>
      <c r="B15" s="32">
        <f t="shared" ref="B15:D15" si="13">STDEV(B4:B9)</f>
        <v>0.09977479797</v>
      </c>
      <c r="C15" s="32">
        <f t="shared" si="13"/>
        <v>0.1176255771</v>
      </c>
      <c r="D15" s="32">
        <f t="shared" si="13"/>
        <v>0.04021895757</v>
      </c>
      <c r="E15" s="19"/>
      <c r="F15" s="27"/>
      <c r="L15" s="17"/>
      <c r="Z15" s="26"/>
      <c r="AA15" s="26"/>
      <c r="AF15" s="26"/>
      <c r="AG15" s="26"/>
    </row>
    <row r="16">
      <c r="B16" s="4" t="s">
        <v>52</v>
      </c>
      <c r="C16" s="4" t="b">
        <v>1</v>
      </c>
      <c r="D16" s="4" t="b">
        <v>0</v>
      </c>
      <c r="E16" s="19"/>
      <c r="F16" s="27"/>
      <c r="J16" s="4"/>
      <c r="K16" s="4"/>
      <c r="L16" s="4"/>
      <c r="M16" s="4"/>
      <c r="S16" s="4"/>
      <c r="T16" s="4"/>
      <c r="U16" s="4"/>
      <c r="V16" s="4"/>
      <c r="Y16" s="4"/>
      <c r="Z16" s="4"/>
      <c r="AA16" s="4"/>
      <c r="AB16" s="4"/>
      <c r="AC16" s="4"/>
      <c r="AE16" s="4"/>
      <c r="AF16" s="4"/>
      <c r="AG16" s="4"/>
      <c r="AH16" s="4"/>
      <c r="AI16" s="4"/>
    </row>
    <row r="17">
      <c r="B17" s="4" t="s">
        <v>9</v>
      </c>
      <c r="E17" s="19"/>
      <c r="F17" s="27"/>
      <c r="J17" s="4" t="s">
        <v>3</v>
      </c>
      <c r="S17" s="4" t="s">
        <v>3</v>
      </c>
      <c r="Y17" s="4" t="s">
        <v>3</v>
      </c>
      <c r="AE17" s="4" t="s">
        <v>3</v>
      </c>
    </row>
    <row r="18">
      <c r="A18" s="1" t="s">
        <v>19</v>
      </c>
      <c r="B18" s="9">
        <f t="array" ref="B18">INDEX(INDIRECT(INDEX($F$4,0) &amp; "!$D$18"),0)</f>
        <v>0.5714285714</v>
      </c>
      <c r="C18" s="9">
        <f t="array" ref="C18">INDEX(INDIRECT(INDEX($G$4,0) &amp; "!$D$18"),0)</f>
        <v>0.5</v>
      </c>
      <c r="D18" s="9">
        <f t="array" ref="D18">INDEX(INDIRECT(INDEX($H$4,0) &amp; "!$D$18"),0)</f>
        <v>0.5714285714</v>
      </c>
      <c r="E18" s="19"/>
      <c r="F18" s="19"/>
      <c r="G18" s="19"/>
      <c r="H18" s="19"/>
      <c r="I18" s="19"/>
      <c r="J18" s="9">
        <f t="array" ref="J18">INDEX(INDIRECT(INDEX($G$4,0) &amp; "!$D$14"),0)</f>
        <v>1</v>
      </c>
      <c r="K18" s="9">
        <f t="array" ref="K18">INDEX(INDIRECT(INDEX($G$4,0) &amp; "!$D$15"),0)</f>
        <v>0.6666666667</v>
      </c>
      <c r="L18" s="9">
        <f t="array" ref="L18">INDEX(INDIRECT(INDEX($G$4,0) &amp; "!$D$16"),0)</f>
        <v>0</v>
      </c>
      <c r="M18" s="9">
        <f t="array" ref="M18">INDEX(INDIRECT(INDEX($G$4,0) &amp; "!$D$17"),0)</f>
        <v>0.5</v>
      </c>
      <c r="N18" s="12">
        <f t="array" ref="N18">SUM(J18:M18*S18:V18)/W18</f>
        <v>0.5</v>
      </c>
      <c r="O18" s="13">
        <f t="array" ref="O18">SUM(J18:L18*S18:U18)/SUM(S18:U18)</f>
        <v>0.5</v>
      </c>
      <c r="P18" s="13">
        <f t="shared" ref="P18:P23" si="14">(J18*S18+K18*T18+M18*V18)/(S18+T18+V18)</f>
        <v>0.7</v>
      </c>
      <c r="Q18" s="13">
        <f t="array" ref="Q18">SUM(J18:K18*S18:T18)/SUM(S18:T18)</f>
        <v>0.8333333333</v>
      </c>
      <c r="S18" s="14">
        <f t="array" ref="S18">INDEX(INDIRECT(INDEX($G$4,0) &amp; "!$C$14"),0)</f>
        <v>3</v>
      </c>
      <c r="T18" s="14">
        <f t="array" ref="T18">INDEX(INDIRECT(INDEX($G$4,0) &amp; "!$C$15"),0)</f>
        <v>3</v>
      </c>
      <c r="U18" s="14">
        <f t="array" ref="U18">INDEX(INDIRECT(INDEX($G$4,0) &amp; "!$C$16"),0)</f>
        <v>4</v>
      </c>
      <c r="V18" s="14">
        <f t="array" ref="V18">INDEX(INDIRECT(INDEX($G$4,0) &amp; "!$C$17"),0)</f>
        <v>4</v>
      </c>
      <c r="W18" s="15">
        <f t="shared" ref="W18:W24" si="15">SUM(S18:V18)</f>
        <v>14</v>
      </c>
      <c r="Y18" s="9">
        <f t="array" ref="Y18">INDEX(INDIRECT(INDEX($G$4,0) &amp; "!$D$2"),0)</f>
        <v>0.1578947368</v>
      </c>
      <c r="Z18" s="9">
        <f t="array" ref="Z18">INDEX(INDIRECT(INDEX($G$4,0) &amp; "!$D$3"),0)</f>
        <v>0.05263157895</v>
      </c>
      <c r="AA18" s="9">
        <f t="array" ref="AA18">INDEX(INDIRECT(INDEX($G$4,0) &amp; "!$D$4"),0)</f>
        <v>0.1052631579</v>
      </c>
      <c r="AB18" s="9">
        <f t="array" ref="AB18">INDEX(INDIRECT(INDEX($G$4,0) &amp; "!$D$5"),0)</f>
        <v>0.3684210526</v>
      </c>
      <c r="AC18" s="9">
        <f t="array" ref="AC18">INDEX(INDIRECT(INDEX($G$4,0) &amp; "!$D$6"),0)</f>
        <v>0.3157894737</v>
      </c>
      <c r="AE18" s="3">
        <f t="array" ref="AE18">INDEX(INDIRECT(INDEX($G$4,0) &amp; "!$C$2"),0)</f>
        <v>3</v>
      </c>
      <c r="AF18" s="3">
        <f t="array" ref="AF18">INDEX(INDIRECT(INDEX($G$4,0) &amp; "!$C$3"),0)</f>
        <v>1</v>
      </c>
      <c r="AG18" s="3">
        <f t="array" ref="AG18">INDEX(INDIRECT(INDEX($G$4,0) &amp; "!$C$4"),0)</f>
        <v>2</v>
      </c>
      <c r="AH18" s="3">
        <f t="array" ref="AH18">INDEX(INDIRECT(INDEX($G$4,0) &amp; "!$C$5"),0)</f>
        <v>7</v>
      </c>
      <c r="AI18" s="3">
        <f t="array" ref="AI18">INDEX(INDIRECT(INDEX($G$4,0) &amp; "!$C$6"),0)</f>
        <v>6</v>
      </c>
      <c r="AJ18" s="16">
        <f t="shared" ref="AJ18:AJ24" si="16">SUM(AE18:AI18)</f>
        <v>19</v>
      </c>
      <c r="AK18" s="19"/>
      <c r="AL18" s="19"/>
      <c r="AM18" s="19"/>
      <c r="AN18" s="19"/>
      <c r="AO18" s="19"/>
    </row>
    <row r="19">
      <c r="A19" s="1" t="s">
        <v>23</v>
      </c>
      <c r="B19" s="9">
        <f t="array" ref="B19">INDEX(INDIRECT(INDEX($F$5,0) &amp; "!$D$18"),0)</f>
        <v>0.5555555556</v>
      </c>
      <c r="C19" s="9">
        <f t="array" ref="C19">INDEX(INDIRECT(INDEX($G$5,0) &amp; "!$D$18"),0)</f>
        <v>0.4444444444</v>
      </c>
      <c r="D19" s="9">
        <f t="array" ref="D19">INDEX(INDIRECT(INDEX($H$5,0) &amp; "!$D$18"),0)</f>
        <v>0.5</v>
      </c>
      <c r="E19" s="33"/>
      <c r="F19" s="27"/>
      <c r="G19" s="19"/>
      <c r="H19" s="19"/>
      <c r="I19" s="19"/>
      <c r="J19" s="9">
        <f t="array" ref="J19">INDEX(INDIRECT(INDEX($G$5,0) &amp; "!$D$14"),0)</f>
        <v>1</v>
      </c>
      <c r="K19" s="9">
        <f t="array" ref="K19">INDEX(INDIRECT(INDEX($G$5,0) &amp; "!$D$15"),0)</f>
        <v>0.5</v>
      </c>
      <c r="L19" s="9">
        <f t="array" ref="L19">INDEX(INDIRECT(INDEX($G$5,0) &amp; "!$D$16"),0)</f>
        <v>0.5</v>
      </c>
      <c r="M19" s="9">
        <f t="array" ref="M19">INDEX(INDIRECT(INDEX($G$5,0) &amp; "!$D$17"),0)</f>
        <v>0.2222222222</v>
      </c>
      <c r="N19" s="12">
        <f t="array" ref="N19">SUM(J19:M19*S19:V19)/W19</f>
        <v>0.4444444444</v>
      </c>
      <c r="O19" s="13">
        <f t="array" ref="O19">SUM(J19:L19*S19:U19)/SUM(S19:U19)</f>
        <v>0.6666666667</v>
      </c>
      <c r="P19" s="13">
        <f t="shared" si="14"/>
        <v>0.4285714286</v>
      </c>
      <c r="Q19" s="13">
        <f t="array" ref="Q19">SUM(J19:K19*S19:T19)/SUM(S19:T19)</f>
        <v>0.8</v>
      </c>
      <c r="S19" s="14">
        <f t="array" ref="S19">INDEX(INDIRECT(INDEX($G$5,0) &amp; "!$C$14"),0)</f>
        <v>3</v>
      </c>
      <c r="T19" s="14">
        <f t="array" ref="T19">INDEX(INDIRECT(INDEX($G$5,0) &amp; "!$C$15"),0)</f>
        <v>2</v>
      </c>
      <c r="U19" s="14">
        <f t="array" ref="U19">INDEX(INDIRECT(INDEX($G$5,0) &amp; "!$C$16"),0)</f>
        <v>4</v>
      </c>
      <c r="V19" s="14">
        <f t="array" ref="V19">INDEX(INDIRECT(INDEX($G$5,0) &amp; "!$C$17"),0)</f>
        <v>9</v>
      </c>
      <c r="W19" s="15">
        <f t="shared" si="15"/>
        <v>18</v>
      </c>
      <c r="Y19" s="9">
        <f t="array" ref="Y19">INDEX(INDIRECT(INDEX($G$5,0) &amp; "!$D$2"),0)</f>
        <v>0.08333333333</v>
      </c>
      <c r="Z19" s="9">
        <f t="array" ref="Z19">INDEX(INDIRECT(INDEX($G$5,0) &amp; "!$D$3"),0)</f>
        <v>0</v>
      </c>
      <c r="AA19" s="9">
        <f t="array" ref="AA19">INDEX(INDIRECT(INDEX($G$5,0) &amp; "!$D$4"),0)</f>
        <v>0.1666666667</v>
      </c>
      <c r="AB19" s="9">
        <f t="array" ref="AB19">INDEX(INDIRECT(INDEX($G$5,0) &amp; "!$D$5"),0)</f>
        <v>0.25</v>
      </c>
      <c r="AC19" s="9">
        <f t="array" ref="AC19">INDEX(INDIRECT(INDEX($G$5,0) &amp; "!$D$6"),0)</f>
        <v>0.5</v>
      </c>
      <c r="AE19" s="3">
        <f t="array" ref="AE19">INDEX(INDIRECT(INDEX($G$5,0) &amp; "!$C$2"),0)</f>
        <v>2</v>
      </c>
      <c r="AF19" s="3">
        <f t="array" ref="AF19">INDEX(INDIRECT(INDEX($G$5,0) &amp; "!$C$3"),0)</f>
        <v>0</v>
      </c>
      <c r="AG19" s="3">
        <f t="array" ref="AG19">INDEX(INDIRECT(INDEX($G$5,0) &amp; "!$C$4"),0)</f>
        <v>4</v>
      </c>
      <c r="AH19" s="3">
        <f t="array" ref="AH19">INDEX(INDIRECT(INDEX($G$5,0) &amp; "!$C$5"),0)</f>
        <v>6</v>
      </c>
      <c r="AI19" s="3">
        <f t="array" ref="AI19">INDEX(INDIRECT(INDEX($G$5,0) &amp; "!$C$6"),0)</f>
        <v>12</v>
      </c>
      <c r="AJ19" s="16">
        <f t="shared" si="16"/>
        <v>24</v>
      </c>
      <c r="AK19" s="19"/>
      <c r="AL19" s="19"/>
      <c r="AM19" s="19"/>
      <c r="AN19" s="19"/>
      <c r="AO19" s="19"/>
    </row>
    <row r="20">
      <c r="A20" s="1" t="s">
        <v>27</v>
      </c>
      <c r="B20" s="9">
        <f t="array" ref="B20">INDEX(INDIRECT(INDEX($F$6,0) &amp; "!$D$18"),0)</f>
        <v>0.7222222222</v>
      </c>
      <c r="C20" s="9">
        <f t="array" ref="C20">INDEX(INDIRECT(INDEX($G$6,0) &amp; "!$D$18"),0)</f>
        <v>0.5555555556</v>
      </c>
      <c r="D20" s="9">
        <f t="array" ref="D20">INDEX(INDIRECT(INDEX($H$6,0) &amp; "!$D$18"),0)</f>
        <v>0.6666666667</v>
      </c>
      <c r="E20" s="33"/>
      <c r="F20" s="19"/>
      <c r="G20" s="19"/>
      <c r="H20" s="19"/>
      <c r="I20" s="19"/>
      <c r="J20" s="9">
        <f t="array" ref="J20">INDEX(INDIRECT(INDEX($G$6,0) &amp; "!$D$14"),0)</f>
        <v>1</v>
      </c>
      <c r="K20" s="9">
        <f t="array" ref="K20">INDEX(INDIRECT(INDEX($G$6,0) &amp; "!$D$15"),0)</f>
        <v>0.6666666667</v>
      </c>
      <c r="L20" s="9">
        <f t="array" ref="L20">INDEX(INDIRECT(INDEX($G$6,0) &amp; "!$D$16"),0)</f>
        <v>0.75</v>
      </c>
      <c r="M20" s="9">
        <f t="array" ref="M20">INDEX(INDIRECT(INDEX($G$6,0) &amp; "!$D$17"),0)</f>
        <v>0.25</v>
      </c>
      <c r="N20" s="12">
        <f t="array" ref="N20">SUM(J20:M20*S20:V20)/W20</f>
        <v>0.5555555556</v>
      </c>
      <c r="O20" s="13">
        <f t="array" ref="O20">SUM(J20:L20*S20:U20)/SUM(S20:U20)</f>
        <v>0.8</v>
      </c>
      <c r="P20" s="13">
        <f t="shared" si="14"/>
        <v>0.5</v>
      </c>
      <c r="Q20" s="13">
        <f t="array" ref="Q20">SUM(J20:K20*S20:T20)/SUM(S20:T20)</f>
        <v>0.8333333333</v>
      </c>
      <c r="S20" s="14">
        <f t="array" ref="S20">INDEX(INDIRECT(INDEX($G$6,0) &amp; "!$C$14"),0)</f>
        <v>3</v>
      </c>
      <c r="T20" s="14">
        <f t="array" ref="T20">INDEX(INDIRECT(INDEX($G$6,0) &amp; "!$C$15"),0)</f>
        <v>3</v>
      </c>
      <c r="U20" s="14">
        <f t="array" ref="U20">INDEX(INDIRECT(INDEX($G$6,0) &amp; "!$C$16"),0)</f>
        <v>4</v>
      </c>
      <c r="V20" s="14">
        <f t="array" ref="V20">INDEX(INDIRECT(INDEX($G$6,0) &amp; "!$C$17"),0)</f>
        <v>8</v>
      </c>
      <c r="W20" s="15">
        <f t="shared" si="15"/>
        <v>18</v>
      </c>
      <c r="Y20" s="9">
        <f t="array" ref="Y20">INDEX(INDIRECT(INDEX($G$6,0) &amp; "!$D$2"),0)</f>
        <v>0</v>
      </c>
      <c r="Z20" s="9">
        <f t="array" ref="Z20">INDEX(INDIRECT(INDEX($G$6,0) &amp; "!$D$3"),0)</f>
        <v>0.15</v>
      </c>
      <c r="AA20" s="9">
        <f t="array" ref="AA20">INDEX(INDIRECT(INDEX($G$6,0) &amp; "!$D$4"),0)</f>
        <v>0</v>
      </c>
      <c r="AB20" s="9">
        <f t="array" ref="AB20">INDEX(INDIRECT(INDEX($G$6,0) &amp; "!$D$5"),0)</f>
        <v>0.4</v>
      </c>
      <c r="AC20" s="9">
        <f t="array" ref="AC20">INDEX(INDIRECT(INDEX($G$6,0) &amp; "!$D$6"),0)</f>
        <v>0.45</v>
      </c>
      <c r="AE20" s="3">
        <f t="array" ref="AE20">INDEX(INDIRECT(INDEX($G$6,0) &amp; "!$C$2"),0)</f>
        <v>0</v>
      </c>
      <c r="AF20" s="3">
        <f t="array" ref="AF20">INDEX(INDIRECT(INDEX($G$6,0) &amp; "!$C$3"),0)</f>
        <v>3</v>
      </c>
      <c r="AG20" s="3">
        <f t="array" ref="AG20">INDEX(INDIRECT(INDEX($G$6,0) &amp; "!$C$4"),0)</f>
        <v>0</v>
      </c>
      <c r="AH20" s="3">
        <f t="array" ref="AH20">INDEX(INDIRECT(INDEX($G$6,0) &amp; "!$C$5"),0)</f>
        <v>8</v>
      </c>
      <c r="AI20" s="3">
        <f t="array" ref="AI20">INDEX(INDIRECT(INDEX($G$6,0) &amp; "!$C$6"),0)</f>
        <v>9</v>
      </c>
      <c r="AJ20" s="16">
        <f t="shared" si="16"/>
        <v>20</v>
      </c>
      <c r="AK20" s="19"/>
      <c r="AL20" s="19"/>
      <c r="AM20" s="19"/>
      <c r="AN20" s="19"/>
      <c r="AO20" s="19"/>
    </row>
    <row r="21">
      <c r="A21" s="1" t="s">
        <v>31</v>
      </c>
      <c r="B21" s="9">
        <f t="array" ref="B21">INDEX(INDIRECT(INDEX($F$7,0) &amp; "!$D$18"),0)</f>
        <v>0.4347826087</v>
      </c>
      <c r="C21" s="9">
        <f t="array" ref="C21">INDEX(INDIRECT(INDEX($G$7,0) &amp; "!$D$18"),0)</f>
        <v>0.4347826087</v>
      </c>
      <c r="D21" s="9">
        <f t="array" ref="D21">INDEX(INDIRECT(INDEX($H$7,0) &amp; "!$D$18"),0)</f>
        <v>0.4347826087</v>
      </c>
      <c r="E21" s="33"/>
      <c r="F21" s="19"/>
      <c r="G21" s="19"/>
      <c r="H21" s="19"/>
      <c r="I21" s="19"/>
      <c r="J21" s="9">
        <f t="array" ref="J21">INDEX(INDIRECT(INDEX($G$7,0) &amp; "!$D$14"),0)</f>
        <v>1</v>
      </c>
      <c r="K21" s="9">
        <f t="array" ref="K21">INDEX(INDIRECT(INDEX($G$7,0) &amp; "!$D$15"),0)</f>
        <v>0.4285714286</v>
      </c>
      <c r="L21" s="9">
        <f t="array" ref="L21">INDEX(INDIRECT(INDEX($G$7,0) &amp; "!$D$16"),0)</f>
        <v>0.5</v>
      </c>
      <c r="M21" s="9">
        <f t="array" ref="M21">INDEX(INDIRECT(INDEX($G$7,0) &amp; "!$D$17"),0)</f>
        <v>0.2222222222</v>
      </c>
      <c r="N21" s="12">
        <f t="array" ref="N21">SUM(J21:M21*S21:V21)/W21</f>
        <v>0.4347826087</v>
      </c>
      <c r="O21" s="13">
        <f t="array" ref="O21">SUM(J21:L21*S21:U21)/SUM(S21:U21)</f>
        <v>0.5714285714</v>
      </c>
      <c r="P21" s="13">
        <f t="shared" si="14"/>
        <v>0.4210526316</v>
      </c>
      <c r="Q21" s="13">
        <f t="array" ref="Q21">SUM(J21:K21*S21:T21)/SUM(S21:T21)</f>
        <v>0.6</v>
      </c>
      <c r="S21" s="14">
        <f t="array" ref="S21">INDEX(INDIRECT(INDEX($G$7,0) &amp; "!$C$14"),0)</f>
        <v>3</v>
      </c>
      <c r="T21" s="14">
        <f t="array" ref="T21">INDEX(INDIRECT(INDEX($G$7,0) &amp; "!$C$15"),0)</f>
        <v>7</v>
      </c>
      <c r="U21" s="14">
        <f t="array" ref="U21">INDEX(INDIRECT(INDEX($G$7,0) &amp; "!$C$16"),0)</f>
        <v>4</v>
      </c>
      <c r="V21" s="14">
        <f t="array" ref="V21">INDEX(INDIRECT(INDEX($G$7,0) &amp; "!$C$17"),0)</f>
        <v>9</v>
      </c>
      <c r="W21" s="15">
        <f t="shared" si="15"/>
        <v>23</v>
      </c>
      <c r="Y21" s="9">
        <f t="array" ref="Y21">INDEX(INDIRECT(INDEX($G$7,0) &amp; "!$D$2"),0)</f>
        <v>0.06666666667</v>
      </c>
      <c r="Z21" s="9">
        <f t="array" ref="Z21">INDEX(INDIRECT(INDEX($G$7,0) &amp; "!$D$3"),0)</f>
        <v>0.06666666667</v>
      </c>
      <c r="AA21" s="9">
        <f t="array" ref="AA21">INDEX(INDIRECT(INDEX($G$7,0) &amp; "!$D$4"),0)</f>
        <v>0.1</v>
      </c>
      <c r="AB21" s="9">
        <f t="array" ref="AB21">INDEX(INDIRECT(INDEX($G$7,0) &amp; "!$D$5"),0)</f>
        <v>0.3333333333</v>
      </c>
      <c r="AC21" s="9">
        <f t="array" ref="AC21">INDEX(INDIRECT(INDEX($G$7,0) &amp; "!$D$6"),0)</f>
        <v>0.4333333333</v>
      </c>
      <c r="AE21" s="3">
        <f t="array" ref="AE21">INDEX(INDIRECT(INDEX($G$7,0) &amp; "!$C$2"),0)</f>
        <v>2</v>
      </c>
      <c r="AF21" s="3">
        <f t="array" ref="AF21">INDEX(INDIRECT(INDEX($G$7,0) &amp; "!$C$3"),0)</f>
        <v>2</v>
      </c>
      <c r="AG21" s="3">
        <f t="array" ref="AG21">INDEX(INDIRECT(INDEX($G$7,0) &amp; "!$C$4"),0)</f>
        <v>3</v>
      </c>
      <c r="AH21" s="3">
        <f t="array" ref="AH21">INDEX(INDIRECT(INDEX($G$7,0) &amp; "!$C$5"),0)</f>
        <v>10</v>
      </c>
      <c r="AI21" s="3">
        <f t="array" ref="AI21">INDEX(INDIRECT(INDEX($G$7,0) &amp; "!$C$6"),0)</f>
        <v>13</v>
      </c>
      <c r="AJ21" s="16">
        <f t="shared" si="16"/>
        <v>30</v>
      </c>
      <c r="AK21" s="19"/>
      <c r="AL21" s="19"/>
      <c r="AM21" s="19"/>
      <c r="AN21" s="19"/>
      <c r="AO21" s="19"/>
    </row>
    <row r="22">
      <c r="A22" s="1" t="s">
        <v>35</v>
      </c>
      <c r="B22" s="9">
        <f t="array" ref="B22">INDEX(INDIRECT(INDEX($F$8,0) &amp; "!$D$18"),0)</f>
        <v>0.5625</v>
      </c>
      <c r="C22" s="9">
        <f t="array" ref="C22">INDEX(INDIRECT(INDEX($G$8,0) &amp; "!$D$18"),0)</f>
        <v>0.125</v>
      </c>
      <c r="D22" s="9">
        <f t="array" ref="D22">INDEX(INDIRECT(INDEX($H$8,0) &amp; "!$D$18"),0)</f>
        <v>0.625</v>
      </c>
      <c r="E22" s="33"/>
      <c r="F22" s="19"/>
      <c r="G22" s="19"/>
      <c r="H22" s="19"/>
      <c r="I22" s="19"/>
      <c r="J22" s="9">
        <f t="array" ref="J22">INDEX(INDIRECT(INDEX($G$8,0) &amp; "!$D$14"),0)</f>
        <v>1</v>
      </c>
      <c r="K22" s="9">
        <f t="array" ref="K22">INDEX(INDIRECT(INDEX($G$8,0) &amp; "!$D$15"),0)</f>
        <v>0</v>
      </c>
      <c r="L22" s="9">
        <f t="array" ref="L22">INDEX(INDIRECT(INDEX($G$8,0) &amp; "!$D$16"),0)</f>
        <v>0</v>
      </c>
      <c r="M22" s="9">
        <f t="array" ref="M22">INDEX(INDIRECT(INDEX($G$8,0) &amp; "!$D$17"),0)</f>
        <v>0</v>
      </c>
      <c r="N22" s="12">
        <f t="array" ref="N22">SUM(J22:M22*S22:V22)/W22</f>
        <v>0.125</v>
      </c>
      <c r="O22" s="13">
        <f t="array" ref="O22">SUM(J22:L22*S22:U22)/SUM(S22:U22)</f>
        <v>0.3333333333</v>
      </c>
      <c r="P22" s="13">
        <f t="shared" si="14"/>
        <v>0.1666666667</v>
      </c>
      <c r="Q22" s="13">
        <f t="array" ref="Q22">SUM(J22:K22*S22:T22)/SUM(S22:T22)</f>
        <v>1</v>
      </c>
      <c r="S22" s="14">
        <f t="array" ref="S22">INDEX(INDIRECT(INDEX($G$8,0) &amp; "!$C$14"),0)</f>
        <v>2</v>
      </c>
      <c r="T22" s="14">
        <f t="array" ref="T22">INDEX(INDIRECT(INDEX($G$8,0) &amp; "!$C$15"),0)</f>
        <v>0</v>
      </c>
      <c r="U22" s="14">
        <f t="array" ref="U22">INDEX(INDIRECT(INDEX($G$8,0) &amp; "!$C$16"),0)</f>
        <v>4</v>
      </c>
      <c r="V22" s="14">
        <f t="array" ref="V22">INDEX(INDIRECT(INDEX($G$8,0) &amp; "!$C$17"),0)</f>
        <v>10</v>
      </c>
      <c r="W22" s="15">
        <f t="shared" si="15"/>
        <v>16</v>
      </c>
      <c r="Y22" s="9">
        <f t="array" ref="Y22">INDEX(INDIRECT(INDEX($G$8,0) &amp; "!$D$2"),0)</f>
        <v>0.25</v>
      </c>
      <c r="Z22" s="9">
        <f t="array" ref="Z22">INDEX(INDIRECT(INDEX($G$8,0) &amp; "!$D$3"),0)</f>
        <v>0</v>
      </c>
      <c r="AA22" s="9">
        <f t="array" ref="AA22">INDEX(INDIRECT(INDEX($G$8,0) &amp; "!$D$4"),0)</f>
        <v>0.25</v>
      </c>
      <c r="AB22" s="9">
        <f t="array" ref="AB22">INDEX(INDIRECT(INDEX($G$8,0) &amp; "!$D$5"),0)</f>
        <v>0.1</v>
      </c>
      <c r="AC22" s="9">
        <f t="array" ref="AC22">INDEX(INDIRECT(INDEX($G$8,0) &amp; "!$D$6"),0)</f>
        <v>0.4</v>
      </c>
      <c r="AE22" s="3">
        <f t="array" ref="AE22">INDEX(INDIRECT(INDEX($G$8,0) &amp; "!$C$2"),0)</f>
        <v>5</v>
      </c>
      <c r="AF22" s="3">
        <f t="array" ref="AF22">INDEX(INDIRECT(INDEX($G$8,0) &amp; "!$C$3"),0)</f>
        <v>0</v>
      </c>
      <c r="AG22" s="3">
        <f t="array" ref="AG22">INDEX(INDIRECT(INDEX($G$8,0) &amp; "!$C$4"),0)</f>
        <v>5</v>
      </c>
      <c r="AH22" s="3">
        <f t="array" ref="AH22">INDEX(INDIRECT(INDEX($G$8,0) &amp; "!$C$5"),0)</f>
        <v>2</v>
      </c>
      <c r="AI22" s="3">
        <f t="array" ref="AI22">INDEX(INDIRECT(INDEX($G$8,0) &amp; "!$C$6"),0)</f>
        <v>8</v>
      </c>
      <c r="AJ22" s="16">
        <f t="shared" si="16"/>
        <v>20</v>
      </c>
      <c r="AK22" s="19"/>
      <c r="AL22" s="19"/>
      <c r="AM22" s="19"/>
      <c r="AN22" s="19"/>
      <c r="AO22" s="19"/>
    </row>
    <row r="23">
      <c r="A23" s="1" t="s">
        <v>39</v>
      </c>
      <c r="B23" s="9">
        <f t="array" ref="B23">INDEX(INDIRECT(INDEX($F$9,0) &amp; "!$D$18"),0)</f>
        <v>0.6</v>
      </c>
      <c r="C23" s="9">
        <f t="array" ref="C23">INDEX(INDIRECT(INDEX($G$9,0) &amp; "!$D$18"),0)</f>
        <v>0.4666666667</v>
      </c>
      <c r="D23" s="9">
        <f t="array" ref="D23">INDEX(INDIRECT(INDEX($H$9,0) &amp; "!$D$18"),0)</f>
        <v>0.6</v>
      </c>
      <c r="E23" s="33"/>
      <c r="F23" s="19"/>
      <c r="G23" s="19"/>
      <c r="H23" s="19"/>
      <c r="I23" s="19"/>
      <c r="J23" s="9">
        <f t="array" ref="J23">INDEX(INDIRECT(INDEX($G$9,0) &amp; "!$D$14"),0)</f>
        <v>1</v>
      </c>
      <c r="K23" s="9">
        <f t="array" ref="K23">INDEX(INDIRECT(INDEX($G$9,0) &amp; "!$D$15"),0)</f>
        <v>0.5</v>
      </c>
      <c r="L23" s="9">
        <f t="array" ref="L23">INDEX(INDIRECT(INDEX($G$9,0) &amp; "!$D$16"),0)</f>
        <v>0</v>
      </c>
      <c r="M23" s="9">
        <f t="array" ref="M23">INDEX(INDIRECT(INDEX($G$9,0) &amp; "!$D$17"),0)</f>
        <v>0.5714285714</v>
      </c>
      <c r="N23" s="12">
        <f t="array" ref="N23">SUM(J23:M23*S23:V23)/W23</f>
        <v>0.4666666667</v>
      </c>
      <c r="O23" s="13">
        <f t="array" ref="O23">SUM(J23:L23*S23:U23)/SUM(S23:U23)</f>
        <v>0.375</v>
      </c>
      <c r="P23" s="13">
        <f t="shared" si="14"/>
        <v>0.6363636364</v>
      </c>
      <c r="Q23" s="13">
        <f t="array" ref="Q23">SUM(J23:K23*S23:T23)/SUM(S23:T23)</f>
        <v>0.75</v>
      </c>
      <c r="S23" s="14">
        <f t="array" ref="S23">INDEX(INDIRECT(INDEX($G$9,0) &amp; "!$C$14"),0)</f>
        <v>2</v>
      </c>
      <c r="T23" s="14">
        <f t="array" ref="T23">INDEX(INDIRECT(INDEX($G$9,0) &amp; "!$C$15"),0)</f>
        <v>2</v>
      </c>
      <c r="U23" s="14">
        <f t="array" ref="U23">INDEX(INDIRECT(INDEX($G$9,0) &amp; "!$C$16"),0)</f>
        <v>4</v>
      </c>
      <c r="V23" s="14">
        <f t="array" ref="V23">INDEX(INDIRECT(INDEX($G$9,0) &amp; "!$C$17"),0)</f>
        <v>7</v>
      </c>
      <c r="W23" s="15">
        <f t="shared" si="15"/>
        <v>15</v>
      </c>
      <c r="X23" s="17" t="s">
        <v>40</v>
      </c>
      <c r="Y23" s="9">
        <f t="array" ref="Y23">INDEX(INDIRECT(INDEX($G$9,0) &amp; "!$D$2"),0)</f>
        <v>0.04166666667</v>
      </c>
      <c r="Z23" s="9">
        <f t="array" ref="Z23">INDEX(INDIRECT(INDEX($G$9,0) &amp; "!$D$3"),0)</f>
        <v>0.125</v>
      </c>
      <c r="AA23" s="9">
        <f t="array" ref="AA23">INDEX(INDIRECT(INDEX($G$9,0) &amp; "!$D$4"),0)</f>
        <v>0.125</v>
      </c>
      <c r="AB23" s="9">
        <f t="array" ref="AB23">INDEX(INDIRECT(INDEX($G$9,0) &amp; "!$D$5"),0)</f>
        <v>0.25</v>
      </c>
      <c r="AC23" s="9">
        <f t="array" ref="AC23">INDEX(INDIRECT(INDEX($G$9,0) &amp; "!$D$6"),0)</f>
        <v>0.4583333333</v>
      </c>
      <c r="AE23" s="3">
        <f t="array" ref="AE23">INDEX(INDIRECT(INDEX($G$9,0) &amp; "!$C$2"),0)</f>
        <v>1</v>
      </c>
      <c r="AF23" s="3">
        <f t="array" ref="AF23">INDEX(INDIRECT(INDEX($G$9,0) &amp; "!$C$3"),0)</f>
        <v>3</v>
      </c>
      <c r="AG23" s="3">
        <f t="array" ref="AG23">INDEX(INDIRECT(INDEX($G$9,0) &amp; "!$C$4"),0)</f>
        <v>3</v>
      </c>
      <c r="AH23" s="3">
        <f t="array" ref="AH23">INDEX(INDIRECT(INDEX($G$9,0) &amp; "!$C$5"),0)</f>
        <v>6</v>
      </c>
      <c r="AI23" s="3">
        <f t="array" ref="AI23">INDEX(INDIRECT(INDEX($G$9,0) &amp; "!$C$6"),0)</f>
        <v>11</v>
      </c>
      <c r="AJ23" s="16">
        <f t="shared" si="16"/>
        <v>24</v>
      </c>
      <c r="AK23" s="19"/>
      <c r="AL23" s="19"/>
      <c r="AM23" s="19"/>
      <c r="AN23" s="19"/>
      <c r="AO23" s="19"/>
    </row>
    <row r="24">
      <c r="A24" s="1" t="s">
        <v>44</v>
      </c>
      <c r="B24" s="18">
        <f t="shared" ref="B24:D24" si="17">AVERAGE(B$18:B23)</f>
        <v>0.5744148263</v>
      </c>
      <c r="C24" s="18">
        <f t="shared" si="17"/>
        <v>0.4210748792</v>
      </c>
      <c r="D24" s="18">
        <f t="shared" si="17"/>
        <v>0.5663129745</v>
      </c>
      <c r="E24" s="31" t="s">
        <v>40</v>
      </c>
      <c r="I24" s="17" t="s">
        <v>40</v>
      </c>
      <c r="J24" s="18">
        <f t="shared" ref="J24:Q24" si="18">AVERAGE(J18:J23)</f>
        <v>1</v>
      </c>
      <c r="K24" s="18">
        <f t="shared" si="18"/>
        <v>0.4603174603</v>
      </c>
      <c r="L24" s="18">
        <f t="shared" si="18"/>
        <v>0.2916666667</v>
      </c>
      <c r="M24" s="18">
        <f t="shared" si="18"/>
        <v>0.2943121693</v>
      </c>
      <c r="N24" s="20">
        <f t="shared" si="18"/>
        <v>0.4210748792</v>
      </c>
      <c r="O24" s="18">
        <f t="shared" si="18"/>
        <v>0.5410714286</v>
      </c>
      <c r="P24" s="18">
        <f t="shared" si="18"/>
        <v>0.4754423939</v>
      </c>
      <c r="Q24" s="18">
        <f t="shared" si="18"/>
        <v>0.8027777778</v>
      </c>
      <c r="S24" s="21">
        <f t="shared" ref="S24:V24" si="19">SUM(S18:S23)</f>
        <v>16</v>
      </c>
      <c r="T24" s="21">
        <f t="shared" si="19"/>
        <v>17</v>
      </c>
      <c r="U24" s="21">
        <f t="shared" si="19"/>
        <v>24</v>
      </c>
      <c r="V24" s="21">
        <f t="shared" si="19"/>
        <v>47</v>
      </c>
      <c r="W24" s="22">
        <f t="shared" si="15"/>
        <v>104</v>
      </c>
      <c r="Y24" s="18">
        <f t="shared" ref="Y24:AC24" si="20">AVERAGE(Y18:Y23)</f>
        <v>0.09992690058</v>
      </c>
      <c r="Z24" s="18">
        <f t="shared" si="20"/>
        <v>0.06571637427</v>
      </c>
      <c r="AA24" s="18">
        <f t="shared" si="20"/>
        <v>0.1244883041</v>
      </c>
      <c r="AB24" s="18">
        <f t="shared" si="20"/>
        <v>0.283625731</v>
      </c>
      <c r="AC24" s="18">
        <f t="shared" si="20"/>
        <v>0.4262426901</v>
      </c>
      <c r="AD24" s="23">
        <f t="shared" ref="AD24:AD25" si="23">SUM(Y24:AC24)</f>
        <v>1</v>
      </c>
      <c r="AE24" s="24">
        <f t="shared" ref="AE24:AI24" si="21">SUM(AE18:AE23)</f>
        <v>13</v>
      </c>
      <c r="AF24" s="24">
        <f t="shared" si="21"/>
        <v>9</v>
      </c>
      <c r="AG24" s="24">
        <f t="shared" si="21"/>
        <v>17</v>
      </c>
      <c r="AH24" s="24">
        <f t="shared" si="21"/>
        <v>39</v>
      </c>
      <c r="AI24" s="24">
        <f t="shared" si="21"/>
        <v>59</v>
      </c>
      <c r="AJ24" s="25">
        <f t="shared" si="16"/>
        <v>137</v>
      </c>
      <c r="AK24" s="19"/>
      <c r="AL24" s="19"/>
      <c r="AM24" s="19"/>
      <c r="AN24" s="19"/>
      <c r="AO24" s="19"/>
    </row>
    <row r="25">
      <c r="A25" s="1" t="s">
        <v>45</v>
      </c>
      <c r="B25" s="9">
        <f t="array" ref="B25">SUM($B18:$B23*$W4:$W9)/$W10</f>
        <v>0.5673076923</v>
      </c>
      <c r="C25" s="9">
        <f t="array" ref="C25">SUM($C18:$C23*$W18:$W23)/$W24</f>
        <v>0.4230769231</v>
      </c>
      <c r="D25" s="9">
        <f t="array" ref="D25">SUM($D18:$D23*$W32:$W37)/$W38</f>
        <v>0.5576923077</v>
      </c>
      <c r="E25" s="31" t="s">
        <v>40</v>
      </c>
      <c r="F25" s="19"/>
      <c r="J25" s="13">
        <f t="array" ref="J25">SUM(J18:J23*S18:S23)/S24</f>
        <v>1</v>
      </c>
      <c r="K25" s="13">
        <f t="array" ref="K25">SUM(K18:K23*T18:T23)/T24</f>
        <v>0.5294117647</v>
      </c>
      <c r="L25" s="13">
        <f t="array" ref="L25">SUM(L18:L23*U18:U23)/U24</f>
        <v>0.2916666667</v>
      </c>
      <c r="M25" s="13">
        <f t="array" ref="M25">SUM(M18:M23*V18:V23)/V24</f>
        <v>0.2553191489</v>
      </c>
      <c r="N25" s="12">
        <f t="array" ref="N25">SUM(N18:N23*W18:W23)/W24</f>
        <v>0.4230769231</v>
      </c>
      <c r="O25" s="13">
        <f t="array" ref="O25">SUM(O18:O23*W18:W23-V18:V23)/SUM(S24:U24)</f>
        <v>0.5614035088</v>
      </c>
      <c r="P25" s="13">
        <f t="array" ref="P25">SUM(P18:P23*W18:W23-U18:U23)/(SUM(S24:V24)-U24)</f>
        <v>0.4625</v>
      </c>
      <c r="Q25" s="13">
        <f t="array" ref="Q25">SUM(Q18:Q23*S18:S23+T18:T23)/SUM(S24:T24)</f>
        <v>0.7575757576</v>
      </c>
      <c r="Y25" s="13">
        <f t="shared" ref="Y25:AC25" si="22">AE24/$AJ24</f>
        <v>0.09489051095</v>
      </c>
      <c r="Z25" s="13">
        <f t="shared" si="22"/>
        <v>0.06569343066</v>
      </c>
      <c r="AA25" s="13">
        <f t="shared" si="22"/>
        <v>0.1240875912</v>
      </c>
      <c r="AB25" s="13">
        <f t="shared" si="22"/>
        <v>0.2846715328</v>
      </c>
      <c r="AC25" s="13">
        <f t="shared" si="22"/>
        <v>0.4306569343</v>
      </c>
      <c r="AD25" s="23">
        <f t="shared" si="23"/>
        <v>1</v>
      </c>
      <c r="AK25" s="19"/>
      <c r="AL25" s="19"/>
      <c r="AM25" s="19"/>
      <c r="AN25" s="19"/>
      <c r="AO25" s="19"/>
    </row>
    <row r="26">
      <c r="B26" s="4" t="s">
        <v>46</v>
      </c>
      <c r="C26" s="9">
        <f t="shared" ref="C26:C27" si="25">C24-B24</f>
        <v>-0.1533399471</v>
      </c>
      <c r="D26" s="9">
        <f t="shared" ref="D26:D27" si="26">D24-B24</f>
        <v>-0.008101851852</v>
      </c>
      <c r="E26" s="19"/>
      <c r="F26" s="19"/>
      <c r="I26" s="34" t="s">
        <v>49</v>
      </c>
      <c r="J26" s="35">
        <v>0.65472</v>
      </c>
      <c r="K26" s="36">
        <v>2.0</v>
      </c>
      <c r="L26" s="37">
        <f t="shared" ref="L26:Q26" si="24">TTEST(L$4:L$9, L18:L23, 1, 1)</f>
        <v>0.1816087338</v>
      </c>
      <c r="M26" s="37">
        <f t="shared" si="24"/>
        <v>0.01417706817</v>
      </c>
      <c r="N26" s="38">
        <f t="shared" si="24"/>
        <v>0.02741770759</v>
      </c>
      <c r="O26" s="29">
        <f t="shared" si="24"/>
        <v>0.3257714384</v>
      </c>
      <c r="P26" s="29">
        <f t="shared" si="24"/>
        <v>0.04203451259</v>
      </c>
      <c r="Q26" s="29">
        <f t="shared" si="24"/>
        <v>0.1816087338</v>
      </c>
      <c r="X26" s="1" t="s">
        <v>49</v>
      </c>
      <c r="Y26" s="29">
        <f>TTEST(Y18:Y23, Y$4:Y$9, 1, 1)</f>
        <v>0.1121688862</v>
      </c>
      <c r="Z26" s="30">
        <v>0.063</v>
      </c>
      <c r="AA26" s="29">
        <f>TTEST(AA18:AA23, AA$4:AA$9, 1, 1)</f>
        <v>0.02014640148</v>
      </c>
      <c r="AB26" s="30">
        <v>0.438</v>
      </c>
      <c r="AC26" s="29">
        <f>TTEST(AC18:AC23, AC$4:AC$9, 1, 1)</f>
        <v>0.0220641207</v>
      </c>
      <c r="AD26" s="13">
        <f>Y25+AB25+AC25</f>
        <v>0.8102189781</v>
      </c>
      <c r="AE26" s="1" t="s">
        <v>47</v>
      </c>
      <c r="AG26" s="26"/>
      <c r="AK26" s="19"/>
      <c r="AL26" s="19"/>
      <c r="AM26" s="19"/>
      <c r="AN26" s="19"/>
      <c r="AO26" s="19"/>
    </row>
    <row r="27">
      <c r="B27" s="4" t="s">
        <v>48</v>
      </c>
      <c r="C27" s="9">
        <f t="shared" si="25"/>
        <v>-0.1442307692</v>
      </c>
      <c r="D27" s="9">
        <f t="shared" si="26"/>
        <v>-0.009615384615</v>
      </c>
      <c r="E27" s="19"/>
      <c r="F27" s="19"/>
      <c r="I27" s="4" t="s">
        <v>52</v>
      </c>
      <c r="J27" s="4" t="b">
        <v>0</v>
      </c>
      <c r="K27" s="4" t="b">
        <v>0</v>
      </c>
      <c r="L27" s="4" t="b">
        <v>1</v>
      </c>
      <c r="M27" s="4" t="b">
        <v>1</v>
      </c>
      <c r="X27" s="1" t="s">
        <v>53</v>
      </c>
      <c r="Y27" s="39" t="b">
        <v>1</v>
      </c>
      <c r="Z27" s="40" t="b">
        <v>0</v>
      </c>
      <c r="AA27" s="39" t="b">
        <v>1</v>
      </c>
      <c r="AB27" s="40" t="b">
        <v>0</v>
      </c>
      <c r="AC27" s="39" t="b">
        <v>1</v>
      </c>
      <c r="AD27" s="13">
        <f>AB25+AC25</f>
        <v>0.7153284672</v>
      </c>
      <c r="AE27" s="1" t="s">
        <v>18</v>
      </c>
      <c r="AK27" s="19"/>
      <c r="AL27" s="19"/>
      <c r="AM27" s="19"/>
      <c r="AN27" s="19"/>
      <c r="AO27" s="19"/>
    </row>
    <row r="28">
      <c r="B28" s="1" t="s">
        <v>49</v>
      </c>
      <c r="C28" s="29">
        <f>TTEST(B$18:B23, C$18:C23, 1, 1)</f>
        <v>0.02741770759</v>
      </c>
      <c r="D28" s="29">
        <f>TTEST(B$18:B23, D$18:D23, 1, 1)</f>
        <v>0.3354681097</v>
      </c>
      <c r="E28" s="19"/>
      <c r="F28" s="19"/>
      <c r="J28" s="17"/>
      <c r="AK28" s="19"/>
      <c r="AL28" s="19"/>
      <c r="AM28" s="19"/>
      <c r="AN28" s="19"/>
      <c r="AO28" s="19"/>
    </row>
    <row r="29">
      <c r="A29" s="1" t="s">
        <v>51</v>
      </c>
      <c r="B29" s="32">
        <f t="shared" ref="B29:D29" si="27">STDEV(B18:B23)</f>
        <v>0.09220123263</v>
      </c>
      <c r="C29" s="32">
        <f t="shared" si="27"/>
        <v>0.1515171347</v>
      </c>
      <c r="D29" s="32">
        <f t="shared" si="27"/>
        <v>0.08529204327</v>
      </c>
      <c r="E29" s="19"/>
      <c r="F29" s="19"/>
      <c r="Z29" s="17"/>
      <c r="AA29" s="26"/>
      <c r="AF29" s="26"/>
      <c r="AG29" s="26"/>
      <c r="AK29" s="19"/>
      <c r="AL29" s="19"/>
      <c r="AM29" s="19"/>
      <c r="AN29" s="19"/>
      <c r="AO29" s="19"/>
    </row>
    <row r="30">
      <c r="B30" s="4" t="s">
        <v>52</v>
      </c>
      <c r="C30" s="4" t="b">
        <v>1</v>
      </c>
      <c r="D30" s="4" t="b">
        <v>1</v>
      </c>
      <c r="E30" s="19"/>
      <c r="F30" s="19"/>
      <c r="J30" s="4"/>
      <c r="K30" s="4"/>
      <c r="L30" s="4"/>
      <c r="M30" s="4"/>
      <c r="S30" s="4"/>
      <c r="T30" s="4"/>
      <c r="U30" s="4"/>
      <c r="V30" s="4"/>
      <c r="Y30" s="4"/>
      <c r="Z30" s="4"/>
      <c r="AA30" s="4"/>
      <c r="AB30" s="4"/>
      <c r="AC30" s="4"/>
      <c r="AE30" s="4"/>
      <c r="AF30" s="4"/>
      <c r="AG30" s="4"/>
      <c r="AH30" s="4"/>
      <c r="AI30" s="4"/>
      <c r="AK30" s="19"/>
      <c r="AL30" s="19"/>
      <c r="AM30" s="19"/>
      <c r="AN30" s="19"/>
      <c r="AO30" s="19"/>
    </row>
    <row r="31">
      <c r="B31" s="4" t="s">
        <v>54</v>
      </c>
      <c r="E31" s="19"/>
      <c r="F31" s="19"/>
      <c r="J31" s="4" t="s">
        <v>4</v>
      </c>
      <c r="S31" s="4" t="s">
        <v>4</v>
      </c>
      <c r="Y31" s="4" t="s">
        <v>4</v>
      </c>
      <c r="AE31" s="4" t="s">
        <v>4</v>
      </c>
      <c r="AK31" s="19"/>
      <c r="AL31" s="19"/>
      <c r="AM31" s="19"/>
      <c r="AN31" s="19"/>
      <c r="AO31" s="19"/>
    </row>
    <row r="32">
      <c r="A32" s="1" t="s">
        <v>19</v>
      </c>
      <c r="B32" s="9">
        <f t="shared" ref="B32:D32" si="28">IF(B4, 2*B4*B18/(B4+B18), "")</f>
        <v>0.6104417671</v>
      </c>
      <c r="C32" s="9">
        <f t="shared" si="28"/>
        <v>0.5777777778</v>
      </c>
      <c r="D32" s="9">
        <f t="shared" si="28"/>
        <v>0.6557377049</v>
      </c>
      <c r="E32" s="19"/>
      <c r="F32" s="19"/>
      <c r="G32" s="19"/>
      <c r="H32" s="19"/>
      <c r="I32" s="19"/>
      <c r="J32" s="9">
        <f t="array" ref="J32">INDEX(INDIRECT(INDEX($H$4,0) &amp; "!$D$14"),0)</f>
        <v>0.6666666667</v>
      </c>
      <c r="K32" s="9">
        <f t="array" ref="K32">INDEX(INDIRECT(INDEX($H$4,0) &amp; "!$D$15"),0)</f>
        <v>0.6666666667</v>
      </c>
      <c r="L32" s="9">
        <f t="array" ref="L32">INDEX(INDIRECT(INDEX($H$4,0) &amp; "!$D$16"),0)</f>
        <v>0.5</v>
      </c>
      <c r="M32" s="9">
        <f t="array" ref="M32">INDEX(INDIRECT(INDEX($H$4,0) &amp; "!$D$17"),0)</f>
        <v>0.5</v>
      </c>
      <c r="N32" s="12">
        <f t="array" ref="N32">SUM(J32:M32*S32:V32)/W32</f>
        <v>0.5714285714</v>
      </c>
      <c r="O32" s="13">
        <f t="array" ref="O32">SUM(J32:L32*S32:U32)/SUM(S32:U32)</f>
        <v>0.6</v>
      </c>
      <c r="P32" s="13">
        <f t="shared" ref="P32:P37" si="30">(J32*S32+K32*T32+M32*V32)/(S32+T32+V32)</f>
        <v>0.6</v>
      </c>
      <c r="Q32" s="13">
        <f t="array" ref="Q32">SUM(J32:K32*S32:T32)/SUM(S32:T32)</f>
        <v>0.6666666667</v>
      </c>
      <c r="S32" s="14">
        <f t="array" ref="S32">INDEX(INDIRECT(INDEX($H$4,0) &amp; "!$C$14"),0)</f>
        <v>3</v>
      </c>
      <c r="T32" s="14">
        <f t="array" ref="T32">INDEX(INDIRECT(INDEX($H$4,0) &amp; "!$C$15"),0)</f>
        <v>3</v>
      </c>
      <c r="U32" s="14">
        <f t="array" ref="U32">INDEX(INDIRECT(INDEX($H$4,0) &amp; "!$C$16"),0)</f>
        <v>4</v>
      </c>
      <c r="V32" s="14">
        <f t="array" ref="V32">INDEX(INDIRECT(INDEX($H$4,0) &amp; "!$C$17"),0)</f>
        <v>4</v>
      </c>
      <c r="W32" s="15">
        <f t="shared" ref="W32:W38" si="31">SUM(S32:V32)</f>
        <v>14</v>
      </c>
      <c r="Y32" s="9">
        <f t="array" ref="Y32">INDEX(INDIRECT(INDEX($H$4,0) &amp; "!$D$2"),0)</f>
        <v>0.02564102564</v>
      </c>
      <c r="Z32" s="9">
        <f t="array" ref="Z32">INDEX(INDIRECT(INDEX($H$4,0) &amp; "!$D$3"),0)</f>
        <v>0.07692307692</v>
      </c>
      <c r="AA32" s="9">
        <f t="array" ref="AA32">INDEX(INDIRECT(INDEX($H$4,0) &amp; "!$D$4"),0)</f>
        <v>0.1282051282</v>
      </c>
      <c r="AB32" s="9">
        <f t="array" ref="AB32">INDEX(INDIRECT(INDEX($H$4,0) &amp; "!$D$5"),0)</f>
        <v>0.2051282051</v>
      </c>
      <c r="AC32" s="9">
        <f t="array" ref="AC32">INDEX(INDIRECT(INDEX($H$4,0) &amp; "!$D$6"),0)</f>
        <v>0.5641025641</v>
      </c>
      <c r="AE32" s="3">
        <f t="array" ref="AE32">INDEX(INDIRECT(INDEX($H$4,0) &amp; "!$C$2"),0)</f>
        <v>1</v>
      </c>
      <c r="AF32" s="3">
        <f t="array" ref="AF32">INDEX(INDIRECT(INDEX($H$4,0) &amp; "!$C$3"),0)</f>
        <v>3</v>
      </c>
      <c r="AG32" s="3">
        <f t="array" ref="AG32">INDEX(INDIRECT(INDEX($H$4,0) &amp; "!$C$4"),0)</f>
        <v>5</v>
      </c>
      <c r="AH32" s="3">
        <f t="array" ref="AH32">INDEX(INDIRECT(INDEX($H$4,0) &amp; "!$C$5"),0)</f>
        <v>8</v>
      </c>
      <c r="AI32" s="3">
        <f t="array" ref="AI32">INDEX(INDIRECT(INDEX($H$4,0) &amp; "!$C$6"),0)</f>
        <v>22</v>
      </c>
      <c r="AJ32" s="16">
        <f t="shared" ref="AJ32:AJ38" si="32">SUM(AE32:AI32)</f>
        <v>39</v>
      </c>
      <c r="AK32" s="19"/>
      <c r="AL32" s="19"/>
      <c r="AM32" s="19"/>
      <c r="AN32" s="19"/>
      <c r="AO32" s="19"/>
    </row>
    <row r="33">
      <c r="A33" s="1" t="s">
        <v>23</v>
      </c>
      <c r="B33" s="9">
        <f t="shared" ref="B33:D33" si="29">IF(B5, 2*B5*B19/(B5+B19), "")</f>
        <v>0.5333333333</v>
      </c>
      <c r="C33" s="9">
        <f t="shared" si="29"/>
        <v>0.5581395349</v>
      </c>
      <c r="D33" s="9">
        <f t="shared" si="29"/>
        <v>0.5714285714</v>
      </c>
      <c r="E33" s="19"/>
      <c r="F33" s="19"/>
      <c r="G33" s="19"/>
      <c r="H33" s="19"/>
      <c r="I33" s="19"/>
      <c r="J33" s="9">
        <f t="array" ref="J33">INDEX(INDIRECT(INDEX($H$5,0) &amp; "!$D$14"),0)</f>
        <v>1</v>
      </c>
      <c r="K33" s="9">
        <f t="array" ref="K33">INDEX(INDIRECT(INDEX($H$5,0) &amp; "!$D$15"),0)</f>
        <v>0</v>
      </c>
      <c r="L33" s="9">
        <f t="array" ref="L33">INDEX(INDIRECT(INDEX($H$5,0) &amp; "!$D$16"),0)</f>
        <v>0.25</v>
      </c>
      <c r="M33" s="9">
        <f t="array" ref="M33">INDEX(INDIRECT(INDEX($H$5,0) &amp; "!$D$17"),0)</f>
        <v>0.5555555556</v>
      </c>
      <c r="N33" s="12">
        <f t="array" ref="N33">SUM(J33:M33*S33:V33)/W33</f>
        <v>0.5</v>
      </c>
      <c r="O33" s="13">
        <f t="array" ref="O33">SUM(J33:L33*S33:U33)/SUM(S33:U33)</f>
        <v>0.4444444444</v>
      </c>
      <c r="P33" s="13">
        <f t="shared" si="30"/>
        <v>0.5714285714</v>
      </c>
      <c r="Q33" s="13">
        <f t="array" ref="Q33">SUM(J33:K33*S33:T33)/SUM(S33:T33)</f>
        <v>0.6</v>
      </c>
      <c r="S33" s="14">
        <f t="array" ref="S33">INDEX(INDIRECT(INDEX($H$5,0) &amp; "!$C$14"),0)</f>
        <v>3</v>
      </c>
      <c r="T33" s="14">
        <f t="array" ref="T33">INDEX(INDIRECT(INDEX($H$5,0) &amp; "!$C$15"),0)</f>
        <v>2</v>
      </c>
      <c r="U33" s="14">
        <f t="array" ref="U33">INDEX(INDIRECT(INDEX($H$5,0) &amp; "!$C$16"),0)</f>
        <v>4</v>
      </c>
      <c r="V33" s="14">
        <f t="array" ref="V33">INDEX(INDIRECT(INDEX($H$5,0) &amp; "!$C$17"),0)</f>
        <v>9</v>
      </c>
      <c r="W33" s="15">
        <f t="shared" si="31"/>
        <v>18</v>
      </c>
      <c r="Y33" s="9">
        <f t="array" ref="Y33">INDEX(INDIRECT(INDEX($H$5,0) &amp; "!$D$2"),0)</f>
        <v>0</v>
      </c>
      <c r="Z33" s="9">
        <f t="array" ref="Z33">INDEX(INDIRECT(INDEX($H$5,0) &amp; "!$D$3"),0)</f>
        <v>0.08333333333</v>
      </c>
      <c r="AA33" s="9">
        <f t="array" ref="AA33">INDEX(INDIRECT(INDEX($H$5,0) &amp; "!$D$4"),0)</f>
        <v>0.25</v>
      </c>
      <c r="AB33" s="9">
        <f t="array" ref="AB33">INDEX(INDIRECT(INDEX($H$5,0) &amp; "!$D$5"),0)</f>
        <v>0.1944444444</v>
      </c>
      <c r="AC33" s="9">
        <f t="array" ref="AC33">INDEX(INDIRECT(INDEX($H$5,0) &amp; "!$D$6"),0)</f>
        <v>0.4722222222</v>
      </c>
      <c r="AE33" s="3">
        <f t="array" ref="AE33">INDEX(INDIRECT(INDEX($H$5,0) &amp; "!$C$2"),0)</f>
        <v>0</v>
      </c>
      <c r="AF33" s="3">
        <f t="array" ref="AF33">INDEX(INDIRECT(INDEX($H$5,0) &amp; "!$C$3"),0)</f>
        <v>3</v>
      </c>
      <c r="AG33" s="3">
        <f t="array" ref="AG33">INDEX(INDIRECT(INDEX($H$5,0) &amp; "!$C$4"),0)</f>
        <v>9</v>
      </c>
      <c r="AH33" s="3">
        <f t="array" ref="AH33">INDEX(INDIRECT(INDEX($H$5,0) &amp; "!$C$5"),0)</f>
        <v>7</v>
      </c>
      <c r="AI33" s="3">
        <f t="array" ref="AI33">INDEX(INDIRECT(INDEX($H$5,0) &amp; "!$C$6"),0)</f>
        <v>17</v>
      </c>
      <c r="AJ33" s="16">
        <f t="shared" si="32"/>
        <v>36</v>
      </c>
      <c r="AK33" s="19"/>
      <c r="AL33" s="19"/>
      <c r="AM33" s="19"/>
      <c r="AN33" s="19"/>
      <c r="AO33" s="19"/>
    </row>
    <row r="34">
      <c r="A34" s="1" t="s">
        <v>27</v>
      </c>
      <c r="B34" s="9">
        <f t="shared" ref="B34:D34" si="33">IF(B6, 2*B6*B20/(B6+B20), "")</f>
        <v>0.6721504113</v>
      </c>
      <c r="C34" s="9">
        <f t="shared" si="33"/>
        <v>0.6719367589</v>
      </c>
      <c r="D34" s="9">
        <f t="shared" si="33"/>
        <v>0.7058823529</v>
      </c>
      <c r="E34" s="19"/>
      <c r="F34" s="19"/>
      <c r="G34" s="19"/>
      <c r="H34" s="19"/>
      <c r="I34" s="19"/>
      <c r="J34" s="9">
        <f t="array" ref="J34">INDEX(INDIRECT(INDEX($H$6,0) &amp; "!$D$14"),0)</f>
        <v>1</v>
      </c>
      <c r="K34" s="9">
        <f t="array" ref="K34">INDEX(INDIRECT(INDEX($H$6,0) &amp; "!$D$15"),0)</f>
        <v>1</v>
      </c>
      <c r="L34" s="9">
        <f t="array" ref="L34">INDEX(INDIRECT(INDEX($H$6,0) &amp; "!$D$16"),0)</f>
        <v>0.75</v>
      </c>
      <c r="M34" s="9">
        <f t="array" ref="M34">INDEX(INDIRECT(INDEX($H$6,0) &amp; "!$D$17"),0)</f>
        <v>0.375</v>
      </c>
      <c r="N34" s="12">
        <f t="array" ref="N34">SUM(J34:M34*S34:V34)/W34</f>
        <v>0.6666666667</v>
      </c>
      <c r="O34" s="13">
        <f t="array" ref="O34">SUM(J34:L34*S34:U34)/SUM(S34:U34)</f>
        <v>0.9</v>
      </c>
      <c r="P34" s="13">
        <f t="shared" si="30"/>
        <v>0.6428571429</v>
      </c>
      <c r="Q34" s="13">
        <f t="array" ref="Q34">SUM(J34:K34*S34:T34)/SUM(S34:T34)</f>
        <v>1</v>
      </c>
      <c r="S34" s="14">
        <f t="array" ref="S34">INDEX(INDIRECT(INDEX($H$6,0) &amp; "!$C$14"),0)</f>
        <v>3</v>
      </c>
      <c r="T34" s="14">
        <f t="array" ref="T34">INDEX(INDIRECT(INDEX($H$6,0) &amp; "!$C$15"),0)</f>
        <v>3</v>
      </c>
      <c r="U34" s="14">
        <f t="array" ref="U34">INDEX(INDIRECT(INDEX($H$6,0) &amp; "!$C$16"),0)</f>
        <v>4</v>
      </c>
      <c r="V34" s="14">
        <f t="array" ref="V34">INDEX(INDIRECT(INDEX($H$6,0) &amp; "!$C$17"),0)</f>
        <v>8</v>
      </c>
      <c r="W34" s="15">
        <f t="shared" si="31"/>
        <v>18</v>
      </c>
      <c r="Y34" s="9">
        <f t="array" ref="Y34">INDEX(INDIRECT(INDEX($H$6,0) &amp; "!$D$2"),0)</f>
        <v>0</v>
      </c>
      <c r="Z34" s="9">
        <f t="array" ref="Z34">INDEX(INDIRECT(INDEX($H$6,0) &amp; "!$D$3"),0)</f>
        <v>0.0625</v>
      </c>
      <c r="AA34" s="9">
        <f t="array" ref="AA34">INDEX(INDIRECT(INDEX($H$6,0) &amp; "!$D$4"),0)</f>
        <v>0.1875</v>
      </c>
      <c r="AB34" s="9">
        <f t="array" ref="AB34">INDEX(INDIRECT(INDEX($H$6,0) &amp; "!$D$5"),0)</f>
        <v>0.34375</v>
      </c>
      <c r="AC34" s="9">
        <f t="array" ref="AC34">INDEX(INDIRECT(INDEX($H$6,0) &amp; "!$D$6"),0)</f>
        <v>0.40625</v>
      </c>
      <c r="AE34" s="3">
        <f t="array" ref="AE34">INDEX(INDIRECT(INDEX($H$6,0) &amp; "!$C$2"),0)</f>
        <v>0</v>
      </c>
      <c r="AF34" s="3">
        <f t="array" ref="AF34">INDEX(INDIRECT(INDEX($H$6,0) &amp; "!$C$3"),0)</f>
        <v>2</v>
      </c>
      <c r="AG34" s="3">
        <f t="array" ref="AG34">INDEX(INDIRECT(INDEX($H$6,0) &amp; "!$C$4"),0)</f>
        <v>6</v>
      </c>
      <c r="AH34" s="3">
        <f t="array" ref="AH34">INDEX(INDIRECT(INDEX($H$6,0) &amp; "!$C$5"),0)</f>
        <v>11</v>
      </c>
      <c r="AI34" s="3">
        <f t="array" ref="AI34">INDEX(INDIRECT(INDEX($H$6,0) &amp; "!$C$6"),0)</f>
        <v>13</v>
      </c>
      <c r="AJ34" s="16">
        <f t="shared" si="32"/>
        <v>32</v>
      </c>
      <c r="AK34" s="19"/>
      <c r="AL34" s="19"/>
      <c r="AM34" s="19"/>
      <c r="AN34" s="19"/>
      <c r="AO34" s="19"/>
    </row>
    <row r="35">
      <c r="A35" s="1" t="s">
        <v>31</v>
      </c>
      <c r="B35" s="9">
        <f t="shared" ref="B35:D35" si="34">IF(B7, 2*B7*B21/(B7+B21), "")</f>
        <v>0.5012964564</v>
      </c>
      <c r="C35" s="9">
        <f t="shared" si="34"/>
        <v>0.5548854041</v>
      </c>
      <c r="D35" s="9">
        <f t="shared" si="34"/>
        <v>0.5405405405</v>
      </c>
      <c r="E35" s="19"/>
      <c r="F35" s="19"/>
      <c r="G35" s="19"/>
      <c r="H35" s="19"/>
      <c r="I35" s="19"/>
      <c r="J35" s="9">
        <f t="array" ref="J35">INDEX(INDIRECT(INDEX($H$7,0) &amp; "!$D$14"),0)</f>
        <v>1</v>
      </c>
      <c r="K35" s="9">
        <f t="array" ref="K35">INDEX(INDIRECT(INDEX($H$7,0) &amp; "!$D$15"),0)</f>
        <v>0.4285714286</v>
      </c>
      <c r="L35" s="9">
        <f t="array" ref="L35">INDEX(INDIRECT(INDEX($H$7,0) &amp; "!$D$16"),0)</f>
        <v>0.5</v>
      </c>
      <c r="M35" s="9">
        <f t="array" ref="M35">INDEX(INDIRECT(INDEX($H$7,0) &amp; "!$D$17"),0)</f>
        <v>0.2222222222</v>
      </c>
      <c r="N35" s="12">
        <f t="array" ref="N35">SUM(J35:M35*S35:V35)/W35</f>
        <v>0.4347826087</v>
      </c>
      <c r="O35" s="13">
        <f t="array" ref="O35">SUM(J35:L35*S35:U35)/SUM(S35:U35)</f>
        <v>0.5714285714</v>
      </c>
      <c r="P35" s="13">
        <f t="shared" si="30"/>
        <v>0.4210526316</v>
      </c>
      <c r="Q35" s="13">
        <f t="array" ref="Q35">SUM(J35:K35*S35:T35)/SUM(S35:T35)</f>
        <v>0.6</v>
      </c>
      <c r="S35" s="14">
        <f t="array" ref="S35">INDEX(INDIRECT(INDEX($H$7,0) &amp; "!$C$14"),0)</f>
        <v>3</v>
      </c>
      <c r="T35" s="14">
        <f t="array" ref="T35">INDEX(INDIRECT(INDEX($H$7,0) &amp; "!$C$15"),0)</f>
        <v>7</v>
      </c>
      <c r="U35" s="14">
        <f t="array" ref="U35">INDEX(INDIRECT(INDEX($H$7,0) &amp; "!$C$16"),0)</f>
        <v>4</v>
      </c>
      <c r="V35" s="14">
        <f t="array" ref="V35">INDEX(INDIRECT(INDEX($H$7,0) &amp; "!$C$17"),0)</f>
        <v>9</v>
      </c>
      <c r="W35" s="15">
        <f t="shared" si="31"/>
        <v>23</v>
      </c>
      <c r="Y35" s="9">
        <f t="array" ref="Y35">INDEX(INDIRECT(INDEX($H$7,0) &amp; "!$D$2"),0)</f>
        <v>0.1142857143</v>
      </c>
      <c r="Z35" s="9">
        <f t="array" ref="Z35">INDEX(INDIRECT(INDEX($H$7,0) &amp; "!$D$3"),0)</f>
        <v>0.02857142857</v>
      </c>
      <c r="AA35" s="9">
        <f t="array" ref="AA35">INDEX(INDIRECT(INDEX($H$7,0) &amp; "!$D$4"),0)</f>
        <v>0.1428571429</v>
      </c>
      <c r="AB35" s="9">
        <f t="array" ref="AB35">INDEX(INDIRECT(INDEX($H$7,0) &amp; "!$D$5"),0)</f>
        <v>0.2857142857</v>
      </c>
      <c r="AC35" s="9">
        <f t="array" ref="AC35">INDEX(INDIRECT(INDEX($H$7,0) &amp; "!$D$6"),0)</f>
        <v>0.4285714286</v>
      </c>
      <c r="AE35" s="3">
        <f t="array" ref="AE35">INDEX(INDIRECT(INDEX($H$7,0) &amp; "!$C$2"),0)</f>
        <v>4</v>
      </c>
      <c r="AF35" s="3">
        <f t="array" ref="AF35">INDEX(INDIRECT(INDEX($H$7,0) &amp; "!$C$3"),0)</f>
        <v>1</v>
      </c>
      <c r="AG35" s="3">
        <f t="array" ref="AG35">INDEX(INDIRECT(INDEX($H$7,0) &amp; "!$C$4"),0)</f>
        <v>5</v>
      </c>
      <c r="AH35" s="3">
        <f t="array" ref="AH35">INDEX(INDIRECT(INDEX($H$7,0) &amp; "!$C$5"),0)</f>
        <v>10</v>
      </c>
      <c r="AI35" s="3">
        <f t="array" ref="AI35">INDEX(INDIRECT(INDEX($H$7,0) &amp; "!$C$6"),0)</f>
        <v>15</v>
      </c>
      <c r="AJ35" s="16">
        <f t="shared" si="32"/>
        <v>35</v>
      </c>
      <c r="AK35" s="19"/>
      <c r="AL35" s="19"/>
      <c r="AM35" s="19"/>
      <c r="AN35" s="19"/>
      <c r="AO35" s="19"/>
    </row>
    <row r="36">
      <c r="A36" s="1" t="s">
        <v>35</v>
      </c>
      <c r="B36" s="9">
        <f t="shared" ref="B36:D36" si="35">IF(B8, 2*B8*B22/(B8+B22), "")</f>
        <v>0.4921875</v>
      </c>
      <c r="C36" s="9">
        <f t="shared" si="35"/>
        <v>0.2</v>
      </c>
      <c r="D36" s="9">
        <f t="shared" si="35"/>
        <v>0.6640625</v>
      </c>
      <c r="E36" s="19"/>
      <c r="F36" s="19"/>
      <c r="G36" s="19"/>
      <c r="H36" s="19"/>
      <c r="I36" s="19"/>
      <c r="J36" s="9">
        <f t="array" ref="J36">INDEX(INDIRECT(INDEX($H$8,0) &amp; "!$D$14"),0)</f>
        <v>1</v>
      </c>
      <c r="K36" s="9">
        <f t="array" ref="K36">INDEX(INDIRECT(INDEX($H$8,0) &amp; "!$D$15"),0)</f>
        <v>0</v>
      </c>
      <c r="L36" s="9">
        <f t="array" ref="L36">INDEX(INDIRECT(INDEX($H$8,0) &amp; "!$D$16"),0)</f>
        <v>0.5</v>
      </c>
      <c r="M36" s="9">
        <f t="array" ref="M36">INDEX(INDIRECT(INDEX($H$8,0) &amp; "!$D$17"),0)</f>
        <v>0.6</v>
      </c>
      <c r="N36" s="12">
        <f t="array" ref="N36">SUM(J36:M36*S36:V36)/W36</f>
        <v>0.625</v>
      </c>
      <c r="O36" s="13">
        <f t="array" ref="O36">SUM(J36:L36*S36:U36)/SUM(S36:U36)</f>
        <v>0.6666666667</v>
      </c>
      <c r="P36" s="13">
        <f t="shared" si="30"/>
        <v>0.6666666667</v>
      </c>
      <c r="Q36" s="13">
        <f t="array" ref="Q36">SUM(J36:K36*S36:T36)/SUM(S36:T36)</f>
        <v>1</v>
      </c>
      <c r="S36" s="14">
        <f t="array" ref="S36">INDEX(INDIRECT(INDEX($H$8,0) &amp; "!$C$14"),0)</f>
        <v>2</v>
      </c>
      <c r="T36" s="14">
        <f t="array" ref="T36">INDEX(INDIRECT(INDEX($H$8,0) &amp; "!$C$15"),0)</f>
        <v>0</v>
      </c>
      <c r="U36" s="14">
        <f t="array" ref="U36">INDEX(INDIRECT(INDEX($H$8,0) &amp; "!$C$16"),0)</f>
        <v>4</v>
      </c>
      <c r="V36" s="14">
        <f t="array" ref="V36">INDEX(INDIRECT(INDEX($H$8,0) &amp; "!$C$17"),0)</f>
        <v>10</v>
      </c>
      <c r="W36" s="15">
        <f t="shared" si="31"/>
        <v>16</v>
      </c>
      <c r="Y36" s="9">
        <f t="array" ref="Y36">INDEX(INDIRECT(INDEX($H$8,0) &amp; "!$D$2"),0)</f>
        <v>0.08333333333</v>
      </c>
      <c r="Z36" s="9">
        <f t="array" ref="Z36">INDEX(INDIRECT(INDEX($H$8,0) &amp; "!$D$3"),0)</f>
        <v>0.04166666667</v>
      </c>
      <c r="AA36" s="9">
        <f t="array" ref="AA36">INDEX(INDIRECT(INDEX($H$8,0) &amp; "!$D$4"),0)</f>
        <v>0.1666666667</v>
      </c>
      <c r="AB36" s="9">
        <f t="array" ref="AB36">INDEX(INDIRECT(INDEX($H$8,0) &amp; "!$D$5"),0)</f>
        <v>0.2916666667</v>
      </c>
      <c r="AC36" s="9">
        <f t="array" ref="AC36">INDEX(INDIRECT(INDEX($H$8,0) &amp; "!$D$6"),0)</f>
        <v>0.4166666667</v>
      </c>
      <c r="AE36" s="3">
        <f t="array" ref="AE36">INDEX(INDIRECT(INDEX($H$8,0) &amp; "!$C$2"),0)</f>
        <v>2</v>
      </c>
      <c r="AF36" s="3">
        <f t="array" ref="AF36">INDEX(INDIRECT(INDEX($H$8,0) &amp; "!$C$3"),0)</f>
        <v>1</v>
      </c>
      <c r="AG36" s="3">
        <f t="array" ref="AG36">INDEX(INDIRECT(INDEX($H$8,0) &amp; "!$C$4"),0)</f>
        <v>4</v>
      </c>
      <c r="AH36" s="3">
        <f t="array" ref="AH36">INDEX(INDIRECT(INDEX($H$8,0) &amp; "!$C$5"),0)</f>
        <v>7</v>
      </c>
      <c r="AI36" s="3">
        <f t="array" ref="AI36">INDEX(INDIRECT(INDEX($H$8,0) &amp; "!$C$6"),0)</f>
        <v>10</v>
      </c>
      <c r="AJ36" s="16">
        <f t="shared" si="32"/>
        <v>24</v>
      </c>
      <c r="AK36" s="19"/>
      <c r="AL36" s="19"/>
      <c r="AM36" s="19"/>
      <c r="AN36" s="19"/>
      <c r="AO36" s="19"/>
    </row>
    <row r="37">
      <c r="A37" s="1" t="s">
        <v>39</v>
      </c>
      <c r="B37" s="9">
        <f t="shared" ref="B37:D37" si="36">IF(B9, 2*B9*B23/(B9+B23), "")</f>
        <v>0.4931506849</v>
      </c>
      <c r="C37" s="9">
        <f t="shared" si="36"/>
        <v>0.5626477541</v>
      </c>
      <c r="D37" s="9">
        <f t="shared" si="36"/>
        <v>0.6355932203</v>
      </c>
      <c r="E37" s="19"/>
      <c r="F37" s="19"/>
      <c r="G37" s="19"/>
      <c r="H37" s="19"/>
      <c r="I37" s="19"/>
      <c r="J37" s="9">
        <f t="array" ref="J37">INDEX(INDIRECT(INDEX($H$9,0) &amp; "!$D$14"),0)</f>
        <v>1</v>
      </c>
      <c r="K37" s="9">
        <f t="array" ref="K37">INDEX(INDIRECT(INDEX($H$9,0) &amp; "!$D$15"),0)</f>
        <v>0.5</v>
      </c>
      <c r="L37" s="9">
        <f t="array" ref="L37">INDEX(INDIRECT(INDEX($H$9,0) &amp; "!$D$16"),0)</f>
        <v>0.5</v>
      </c>
      <c r="M37" s="9">
        <f t="array" ref="M37">INDEX(INDIRECT(INDEX($H$9,0) &amp; "!$D$17"),0)</f>
        <v>0.5714285714</v>
      </c>
      <c r="N37" s="12">
        <f t="array" ref="N37">SUM(J37:M37*S37:V37)/W37</f>
        <v>0.6</v>
      </c>
      <c r="O37" s="13">
        <f t="array" ref="O37">SUM(J37:L37*S37:U37)/SUM(S37:U37)</f>
        <v>0.625</v>
      </c>
      <c r="P37" s="13">
        <f t="shared" si="30"/>
        <v>0.6363636364</v>
      </c>
      <c r="Q37" s="13">
        <f t="array" ref="Q37">SUM(J37:K37*S37:T37)/SUM(S37:T37)</f>
        <v>0.75</v>
      </c>
      <c r="S37" s="14">
        <f t="array" ref="S37">INDEX(INDIRECT(INDEX($H$9,0) &amp; "!$C$14"),0)</f>
        <v>2</v>
      </c>
      <c r="T37" s="14">
        <f t="array" ref="T37">INDEX(INDIRECT(INDEX($H$9,0) &amp; "!$C$15"),0)</f>
        <v>2</v>
      </c>
      <c r="U37" s="14">
        <f t="array" ref="U37">INDEX(INDIRECT(INDEX($H$9,0) &amp; "!$C$16"),0)</f>
        <v>4</v>
      </c>
      <c r="V37" s="14">
        <f t="array" ref="V37">INDEX(INDIRECT(INDEX($H$9,0) &amp; "!$C$17"),0)</f>
        <v>7</v>
      </c>
      <c r="W37" s="15">
        <f t="shared" si="31"/>
        <v>15</v>
      </c>
      <c r="Y37" s="9">
        <f t="array" ref="Y37">INDEX(INDIRECT(INDEX($H$9,0) &amp; "!$D$2"),0)</f>
        <v>0.05405405405</v>
      </c>
      <c r="Z37" s="9">
        <f t="array" ref="Z37">INDEX(INDIRECT(INDEX($H$9,0) &amp; "!$D$3"),0)</f>
        <v>0.1081081081</v>
      </c>
      <c r="AA37" s="9">
        <f t="array" ref="AA37">INDEX(INDIRECT(INDEX($H$9,0) &amp; "!$D$4"),0)</f>
        <v>0.1621621622</v>
      </c>
      <c r="AB37" s="9">
        <f t="array" ref="AB37">INDEX(INDIRECT(INDEX($H$9,0) &amp; "!$D$5"),0)</f>
        <v>0.2432432432</v>
      </c>
      <c r="AC37" s="9">
        <f t="array" ref="AC37">INDEX(INDIRECT(INDEX($H$9,0) &amp; "!$D$6"),0)</f>
        <v>0.4324324324</v>
      </c>
      <c r="AE37" s="3">
        <f t="array" ref="AE37">INDEX(INDIRECT(INDEX($H$9,0) &amp; "!$C$2"),0)</f>
        <v>2</v>
      </c>
      <c r="AF37" s="3">
        <f t="array" ref="AF37">INDEX(INDIRECT(INDEX($H$9,0) &amp; "!$C$3"),0)</f>
        <v>4</v>
      </c>
      <c r="AG37" s="3">
        <f t="array" ref="AG37">INDEX(INDIRECT(INDEX($H$9,0) &amp; "!$C$4"),0)</f>
        <v>6</v>
      </c>
      <c r="AH37" s="3">
        <f t="array" ref="AH37">INDEX(INDIRECT(INDEX($H$9,0) &amp; "!$C$5"),0)</f>
        <v>9</v>
      </c>
      <c r="AI37" s="3">
        <f t="array" ref="AI37">INDEX(INDIRECT(INDEX($H$9,0) &amp; "!$C$6"),0)</f>
        <v>16</v>
      </c>
      <c r="AJ37" s="16">
        <f t="shared" si="32"/>
        <v>37</v>
      </c>
      <c r="AK37" s="19"/>
      <c r="AL37" s="19"/>
      <c r="AM37" s="19"/>
      <c r="AN37" s="19"/>
      <c r="AO37" s="19"/>
    </row>
    <row r="38">
      <c r="A38" s="1" t="s">
        <v>44</v>
      </c>
      <c r="B38" s="18">
        <f t="shared" ref="B38:D38" si="37">AVERAGE(B$32:B37)</f>
        <v>0.5504266922</v>
      </c>
      <c r="C38" s="18">
        <f t="shared" si="37"/>
        <v>0.5208978716</v>
      </c>
      <c r="D38" s="18">
        <f t="shared" si="37"/>
        <v>0.6288741484</v>
      </c>
      <c r="E38" s="31" t="s">
        <v>40</v>
      </c>
      <c r="F38" s="19"/>
      <c r="I38" s="17" t="s">
        <v>40</v>
      </c>
      <c r="J38" s="18">
        <f t="shared" ref="J38:Q38" si="38">AVERAGE(J32:J37)</f>
        <v>0.9444444444</v>
      </c>
      <c r="K38" s="18">
        <f t="shared" si="38"/>
        <v>0.4325396825</v>
      </c>
      <c r="L38" s="18">
        <f t="shared" si="38"/>
        <v>0.5</v>
      </c>
      <c r="M38" s="18">
        <f t="shared" si="38"/>
        <v>0.4707010582</v>
      </c>
      <c r="N38" s="41">
        <f t="shared" si="38"/>
        <v>0.5663129745</v>
      </c>
      <c r="O38" s="42">
        <f t="shared" si="38"/>
        <v>0.6345899471</v>
      </c>
      <c r="P38" s="18">
        <f t="shared" si="38"/>
        <v>0.5897281081</v>
      </c>
      <c r="Q38" s="42">
        <f t="shared" si="38"/>
        <v>0.7694444444</v>
      </c>
      <c r="S38" s="21">
        <f t="shared" ref="S38:V38" si="39">SUM(S32:S37)</f>
        <v>16</v>
      </c>
      <c r="T38" s="21">
        <f t="shared" si="39"/>
        <v>17</v>
      </c>
      <c r="U38" s="21">
        <f t="shared" si="39"/>
        <v>24</v>
      </c>
      <c r="V38" s="21">
        <f t="shared" si="39"/>
        <v>47</v>
      </c>
      <c r="W38" s="22">
        <f t="shared" si="31"/>
        <v>104</v>
      </c>
      <c r="Y38" s="18">
        <f t="shared" ref="Y38:AC38" si="40">AVERAGE(Y32:Y37)</f>
        <v>0.04621902122</v>
      </c>
      <c r="Z38" s="18">
        <f t="shared" si="40"/>
        <v>0.0668504356</v>
      </c>
      <c r="AA38" s="18">
        <f t="shared" si="40"/>
        <v>0.1728985166</v>
      </c>
      <c r="AB38" s="18">
        <f t="shared" si="40"/>
        <v>0.2606578075</v>
      </c>
      <c r="AC38" s="18">
        <f t="shared" si="40"/>
        <v>0.453374219</v>
      </c>
      <c r="AD38" s="23">
        <f t="shared" ref="AD38:AD39" si="43">SUM(Y38:AC38)</f>
        <v>1</v>
      </c>
      <c r="AE38" s="24">
        <f t="shared" ref="AE38:AI38" si="41">SUM(AE32:AE37)</f>
        <v>9</v>
      </c>
      <c r="AF38" s="24">
        <f t="shared" si="41"/>
        <v>14</v>
      </c>
      <c r="AG38" s="24">
        <f t="shared" si="41"/>
        <v>35</v>
      </c>
      <c r="AH38" s="24">
        <f t="shared" si="41"/>
        <v>52</v>
      </c>
      <c r="AI38" s="24">
        <f t="shared" si="41"/>
        <v>93</v>
      </c>
      <c r="AJ38" s="25">
        <f t="shared" si="32"/>
        <v>203</v>
      </c>
    </row>
    <row r="39">
      <c r="A39" s="1" t="s">
        <v>45</v>
      </c>
      <c r="B39" s="9"/>
      <c r="C39" s="9"/>
      <c r="D39" s="9"/>
      <c r="E39" s="19"/>
      <c r="F39" s="19"/>
      <c r="J39" s="13">
        <f t="array" ref="J39">SUM(J32:J37*S32:S37)/S38</f>
        <v>0.9375</v>
      </c>
      <c r="K39" s="13">
        <f t="array" ref="K39">SUM(K32:K37*T32:T37)/T38</f>
        <v>0.5294117647</v>
      </c>
      <c r="L39" s="13">
        <f t="array" ref="L39">SUM(L32:L37*U32:U37)/U38</f>
        <v>0.5</v>
      </c>
      <c r="M39" s="13">
        <f t="array" ref="M39">SUM(M32:M37*V32:V37)/V38</f>
        <v>0.4680851064</v>
      </c>
      <c r="N39" s="43">
        <f t="array" ref="N39">SUM(N32:N37*W32:W37)/W38</f>
        <v>0.5576923077</v>
      </c>
      <c r="O39" s="13">
        <f t="array" ref="O39">SUM(O32:O37*W32:W37-V32:V37)/SUM(S38:U38)</f>
        <v>0.6315789474</v>
      </c>
      <c r="P39" s="13">
        <f t="array" ref="P39">SUM(P32:P37*W32:W37-U32:U37)/(SUM(S38:V38)-U38)</f>
        <v>0.575</v>
      </c>
      <c r="Q39" s="13">
        <f t="array" ref="Q39">SUM(Q32:Q37*S32:S37+T32:T37)/SUM(S38:T38)</f>
        <v>0.7272727273</v>
      </c>
      <c r="Y39" s="13">
        <f t="shared" ref="Y39:AC39" si="42">AE38/$AJ38</f>
        <v>0.04433497537</v>
      </c>
      <c r="Z39" s="13">
        <f t="shared" si="42"/>
        <v>0.06896551724</v>
      </c>
      <c r="AA39" s="13">
        <f t="shared" si="42"/>
        <v>0.1724137931</v>
      </c>
      <c r="AB39" s="13">
        <f t="shared" si="42"/>
        <v>0.2561576355</v>
      </c>
      <c r="AC39" s="13">
        <f t="shared" si="42"/>
        <v>0.4581280788</v>
      </c>
      <c r="AD39" s="23">
        <f t="shared" si="43"/>
        <v>1</v>
      </c>
    </row>
    <row r="40">
      <c r="B40" s="4" t="s">
        <v>46</v>
      </c>
      <c r="C40" s="9">
        <f>C38-B38</f>
        <v>-0.02952882053</v>
      </c>
      <c r="D40" s="9">
        <f>D38-B38</f>
        <v>0.0784474562</v>
      </c>
      <c r="E40" s="19"/>
      <c r="F40" s="19"/>
      <c r="I40" s="1" t="s">
        <v>49</v>
      </c>
      <c r="J40" s="30" t="s">
        <v>55</v>
      </c>
      <c r="K40" s="29">
        <f>TTEST(K$4:K$9, K32:K37, 1, 1)</f>
        <v>0.4045042477</v>
      </c>
      <c r="L40" s="30">
        <v>0.233</v>
      </c>
      <c r="M40" s="29">
        <f t="shared" ref="M40:Q40" si="44">TTEST(M$4:M$9, M32:M37, 1, 1)</f>
        <v>0.1033925797</v>
      </c>
      <c r="N40" s="38">
        <f t="shared" si="44"/>
        <v>0.3354681097</v>
      </c>
      <c r="O40" s="29">
        <f t="shared" si="44"/>
        <v>0.1677595393</v>
      </c>
      <c r="P40" s="29">
        <f t="shared" si="44"/>
        <v>0.04218826832</v>
      </c>
      <c r="Q40" s="29">
        <f t="shared" si="44"/>
        <v>0.5</v>
      </c>
      <c r="X40" s="1" t="s">
        <v>49</v>
      </c>
      <c r="Y40" s="29">
        <f t="shared" ref="Y40:AC40" si="45">TTEST(Y32:Y37, Y$4:Y$9, 1, 1)</f>
        <v>0.2735954013</v>
      </c>
      <c r="Z40" s="29">
        <f t="shared" si="45"/>
        <v>0.002026233967</v>
      </c>
      <c r="AA40" s="29">
        <f t="shared" si="45"/>
        <v>0.1194156582</v>
      </c>
      <c r="AB40" s="29">
        <f t="shared" si="45"/>
        <v>0.1517904997</v>
      </c>
      <c r="AC40" s="29">
        <f t="shared" si="45"/>
        <v>0.001696314666</v>
      </c>
      <c r="AD40" s="13">
        <f>Y39+AB39+AC39</f>
        <v>0.7586206897</v>
      </c>
      <c r="AE40" s="1" t="s">
        <v>47</v>
      </c>
    </row>
    <row r="41">
      <c r="B41" s="28" t="s">
        <v>49</v>
      </c>
      <c r="C41" s="30">
        <v>1.0</v>
      </c>
      <c r="D41" s="30">
        <v>0.031</v>
      </c>
      <c r="E41" s="19"/>
      <c r="F41" s="19"/>
      <c r="I41" s="4" t="s">
        <v>52</v>
      </c>
      <c r="J41" s="4" t="b">
        <v>0</v>
      </c>
      <c r="K41" s="4" t="b">
        <v>1</v>
      </c>
      <c r="L41" s="4" t="b">
        <v>0</v>
      </c>
      <c r="M41" s="4" t="b">
        <v>1</v>
      </c>
      <c r="N41" s="44"/>
      <c r="O41" s="31" t="s">
        <v>40</v>
      </c>
      <c r="P41" s="44"/>
      <c r="Q41" s="44"/>
      <c r="X41" s="1" t="s">
        <v>53</v>
      </c>
      <c r="Y41" s="39" t="b">
        <v>1</v>
      </c>
      <c r="Z41" s="39" t="b">
        <v>1</v>
      </c>
      <c r="AA41" s="39" t="b">
        <v>1</v>
      </c>
      <c r="AB41" s="39" t="b">
        <v>1</v>
      </c>
      <c r="AC41" s="39" t="b">
        <v>1</v>
      </c>
      <c r="AD41" s="13">
        <f>AB39+AC39</f>
        <v>0.7142857143</v>
      </c>
      <c r="AE41" s="1" t="s">
        <v>18</v>
      </c>
    </row>
    <row r="42">
      <c r="A42" s="1" t="s">
        <v>51</v>
      </c>
      <c r="B42" s="32">
        <f t="shared" ref="B42:D42" si="46">STDEV(B32:B37)</f>
        <v>0.07456108973</v>
      </c>
      <c r="C42" s="32">
        <f t="shared" si="46"/>
        <v>0.1632842061</v>
      </c>
      <c r="D42" s="32">
        <f t="shared" si="46"/>
        <v>0.0617059168</v>
      </c>
      <c r="E42" s="19"/>
      <c r="F42" s="19"/>
      <c r="J42" s="44"/>
      <c r="K42" s="44"/>
      <c r="L42" s="44"/>
      <c r="M42" s="17"/>
      <c r="N42" s="44"/>
      <c r="O42" s="44"/>
      <c r="P42" s="44"/>
      <c r="Q42" s="44"/>
      <c r="Y42" s="45"/>
      <c r="Z42" s="46"/>
      <c r="AA42" s="46"/>
    </row>
    <row r="43">
      <c r="B43" s="4" t="s">
        <v>52</v>
      </c>
      <c r="C43" s="4" t="b">
        <v>0</v>
      </c>
      <c r="D43" s="4" t="b">
        <v>0</v>
      </c>
      <c r="J43" s="44"/>
      <c r="K43" s="44"/>
      <c r="L43" s="44"/>
      <c r="M43" s="44"/>
      <c r="N43" s="44"/>
      <c r="O43" s="44"/>
      <c r="P43" s="44"/>
      <c r="Q43" s="44"/>
      <c r="Y43" s="45"/>
      <c r="Z43" s="46"/>
      <c r="AA43" s="46"/>
    </row>
    <row r="44">
      <c r="A44" s="1"/>
      <c r="B44" s="4" t="s">
        <v>56</v>
      </c>
      <c r="F44" s="1"/>
      <c r="G44" s="4" t="s">
        <v>57</v>
      </c>
      <c r="Y44" s="45"/>
      <c r="Z44" s="46"/>
      <c r="AA44" s="46"/>
    </row>
    <row r="45">
      <c r="A45" s="1" t="s">
        <v>19</v>
      </c>
      <c r="B45" s="14">
        <f t="array" ref="B45">INDEX(INDIRECT(INDEX($F$4,0) &amp; "!$C$7"),0)</f>
        <v>29</v>
      </c>
      <c r="C45" s="14">
        <f t="array" ref="C45">INDEX(INDIRECT(INDEX($G$4,0) &amp; "!$C$7"),0)</f>
        <v>19</v>
      </c>
      <c r="D45" s="14">
        <f t="array" ref="D45">INDEX(INDIRECT(INDEX($H$4,0) &amp; "!$C$7"),0)</f>
        <v>39</v>
      </c>
      <c r="F45" s="1" t="s">
        <v>19</v>
      </c>
      <c r="G45" s="47">
        <f t="shared" ref="G45:I45" si="47">INDEX(INDIRECT(INDEX(F4,0) &amp; "!$C$7"),0) * B4</f>
        <v>19</v>
      </c>
      <c r="H45" s="47">
        <f t="shared" si="47"/>
        <v>13</v>
      </c>
      <c r="I45" s="47">
        <f t="shared" si="47"/>
        <v>30</v>
      </c>
      <c r="Y45" s="45"/>
      <c r="Z45" s="46"/>
      <c r="AA45" s="46"/>
    </row>
    <row r="46">
      <c r="A46" s="1" t="s">
        <v>23</v>
      </c>
      <c r="B46" s="14">
        <f t="array" ref="B46">INDEX(INDIRECT(INDEX($F$5,0) &amp; "!$C$7"),0)</f>
        <v>39</v>
      </c>
      <c r="C46" s="14">
        <f t="array" ref="C46">INDEX(INDIRECT(INDEX($G$5,0) &amp; "!$C$7"),0)</f>
        <v>24</v>
      </c>
      <c r="D46" s="14">
        <f t="array" ref="D46">INDEX(INDIRECT(INDEX($H$5,0) &amp; "!$C$7"),0)</f>
        <v>36</v>
      </c>
      <c r="F46" s="1" t="s">
        <v>23</v>
      </c>
      <c r="G46" s="47">
        <f t="shared" ref="G46:I46" si="48">INDEX(INDIRECT(INDEX(F5,0) &amp; "!$C$7"),0) * B5</f>
        <v>20</v>
      </c>
      <c r="H46" s="47">
        <f t="shared" si="48"/>
        <v>18</v>
      </c>
      <c r="I46" s="47">
        <f t="shared" si="48"/>
        <v>24</v>
      </c>
      <c r="Y46" s="45"/>
      <c r="Z46" s="46"/>
      <c r="AA46" s="46"/>
    </row>
    <row r="47">
      <c r="A47" s="1" t="s">
        <v>27</v>
      </c>
      <c r="B47" s="14">
        <f t="array" ref="B47">INDEX(INDIRECT(INDEX($F$6,0) &amp; "!$C$7"),0)</f>
        <v>35</v>
      </c>
      <c r="C47" s="14">
        <f t="array" ref="C47">INDEX(INDIRECT(INDEX($G$6,0) &amp; "!$C$7"),0)</f>
        <v>20</v>
      </c>
      <c r="D47" s="14">
        <f t="array" ref="D47">INDEX(INDIRECT(INDEX($H$6,0) &amp; "!$C$7"),0)</f>
        <v>32</v>
      </c>
      <c r="F47" s="1" t="s">
        <v>27</v>
      </c>
      <c r="G47" s="47">
        <f t="shared" ref="G47:I47" si="49">INDEX(INDIRECT(INDEX(F6,0) &amp; "!$C$7"),0) * B6</f>
        <v>22</v>
      </c>
      <c r="H47" s="47">
        <f t="shared" si="49"/>
        <v>17</v>
      </c>
      <c r="I47" s="47">
        <f t="shared" si="49"/>
        <v>24</v>
      </c>
      <c r="Y47" s="45"/>
      <c r="Z47" s="46"/>
      <c r="AA47" s="46"/>
    </row>
    <row r="48">
      <c r="A48" s="1" t="s">
        <v>31</v>
      </c>
      <c r="B48" s="14">
        <f t="array" ref="B48">INDEX(INDIRECT(INDEX($F$7,0) &amp; "!$C$7"),0)</f>
        <v>49</v>
      </c>
      <c r="C48" s="14">
        <f t="array" ref="C48">INDEX(INDIRECT(INDEX($G$7,0) &amp; "!$C$7"),0)</f>
        <v>30</v>
      </c>
      <c r="D48" s="14">
        <f t="array" ref="D48">INDEX(INDIRECT(INDEX($H$7,0) &amp; "!$C$7"),0)</f>
        <v>35</v>
      </c>
      <c r="F48" s="1" t="s">
        <v>31</v>
      </c>
      <c r="G48" s="47">
        <f t="shared" ref="G48:I48" si="50">INDEX(INDIRECT(INDEX(F7,0) &amp; "!$C$7"),0) * B7</f>
        <v>29</v>
      </c>
      <c r="H48" s="47">
        <f t="shared" si="50"/>
        <v>23</v>
      </c>
      <c r="I48" s="47">
        <f t="shared" si="50"/>
        <v>25</v>
      </c>
      <c r="Y48" s="45"/>
      <c r="Z48" s="46"/>
      <c r="AA48" s="46"/>
    </row>
    <row r="49">
      <c r="A49" s="1" t="s">
        <v>35</v>
      </c>
      <c r="B49" s="14">
        <f t="array" ref="B49">INDEX(INDIRECT(INDEX($F$8,0) &amp; "!$C$7"),0)</f>
        <v>32</v>
      </c>
      <c r="C49" s="14">
        <f t="array" ref="C49">INDEX(INDIRECT(INDEX($G$8,0) &amp; "!$C$7"),0)</f>
        <v>20</v>
      </c>
      <c r="D49" s="14">
        <f t="array" ref="D49">INDEX(INDIRECT(INDEX($H$8,0) &amp; "!$C$7"),0)</f>
        <v>24</v>
      </c>
      <c r="F49" s="1" t="s">
        <v>35</v>
      </c>
      <c r="G49" s="47">
        <f t="shared" ref="G49:I49" si="51">INDEX(INDIRECT(INDEX(F8,0) &amp; "!$C$7"),0) * B8</f>
        <v>14</v>
      </c>
      <c r="H49" s="47">
        <f t="shared" si="51"/>
        <v>10</v>
      </c>
      <c r="I49" s="47">
        <f t="shared" si="51"/>
        <v>17</v>
      </c>
      <c r="Y49" s="45"/>
      <c r="Z49" s="46"/>
      <c r="AA49" s="46"/>
    </row>
    <row r="50">
      <c r="A50" s="1" t="s">
        <v>39</v>
      </c>
      <c r="B50" s="14">
        <f t="array" ref="B50">INDEX(INDIRECT(INDEX($F$9,0) &amp; "!$C$7"),0)</f>
        <v>43</v>
      </c>
      <c r="C50" s="14">
        <f t="array" ref="C50">INDEX(INDIRECT(INDEX($G$9,0) &amp; "!$C$7"),0)</f>
        <v>24</v>
      </c>
      <c r="D50" s="14">
        <f t="array" ref="D50">INDEX(INDIRECT(INDEX($H$9,0) &amp; "!$C$7"),0)</f>
        <v>37</v>
      </c>
      <c r="F50" s="1" t="s">
        <v>39</v>
      </c>
      <c r="G50" s="47">
        <f t="shared" ref="G50:I50" si="52">INDEX(INDIRECT(INDEX(F9,0) &amp; "!$C$7"),0) * B9</f>
        <v>18</v>
      </c>
      <c r="H50" s="47">
        <f t="shared" si="52"/>
        <v>17</v>
      </c>
      <c r="I50" s="47">
        <f t="shared" si="52"/>
        <v>25</v>
      </c>
      <c r="Y50" s="45"/>
      <c r="Z50" s="46"/>
      <c r="AA50" s="46"/>
    </row>
    <row r="51">
      <c r="A51" s="1" t="s">
        <v>44</v>
      </c>
      <c r="B51" s="48">
        <f t="shared" ref="B51:D51" si="53">AVERAGE(B$45:B$50)</f>
        <v>37.83333333</v>
      </c>
      <c r="C51" s="48">
        <f t="shared" si="53"/>
        <v>22.83333333</v>
      </c>
      <c r="D51" s="48">
        <f t="shared" si="53"/>
        <v>33.83333333</v>
      </c>
      <c r="F51" s="1" t="s">
        <v>44</v>
      </c>
      <c r="G51" s="48">
        <f t="shared" ref="G51:I51" si="54">AVERAGE(G$45:G$50)</f>
        <v>20.33333333</v>
      </c>
      <c r="H51" s="48">
        <f t="shared" si="54"/>
        <v>16.33333333</v>
      </c>
      <c r="I51" s="48">
        <f t="shared" si="54"/>
        <v>24.16666667</v>
      </c>
      <c r="J51" s="17" t="s">
        <v>40</v>
      </c>
      <c r="Y51" s="45"/>
      <c r="Z51" s="46"/>
      <c r="AA51" s="46"/>
    </row>
    <row r="52">
      <c r="A52" s="1"/>
      <c r="B52" s="4" t="s">
        <v>46</v>
      </c>
      <c r="C52" s="49">
        <f>C51-B51</f>
        <v>-15</v>
      </c>
      <c r="D52" s="49">
        <f>D51-B51</f>
        <v>-4</v>
      </c>
      <c r="F52" s="1"/>
      <c r="G52" s="4" t="s">
        <v>46</v>
      </c>
      <c r="H52" s="49">
        <f>H51-G51</f>
        <v>-4</v>
      </c>
      <c r="I52" s="49">
        <f>I51-G51</f>
        <v>3.833333333</v>
      </c>
      <c r="Y52" s="45"/>
      <c r="Z52" s="46"/>
      <c r="AA52" s="46"/>
    </row>
    <row r="53">
      <c r="B53" s="28" t="s">
        <v>58</v>
      </c>
      <c r="C53" s="9">
        <f t="shared" ref="C53:D53" si="55">(C$51-$B$51)/$B$51</f>
        <v>-0.3964757709</v>
      </c>
      <c r="D53" s="9">
        <f t="shared" si="55"/>
        <v>-0.1057268722</v>
      </c>
      <c r="G53" s="28" t="s">
        <v>58</v>
      </c>
      <c r="H53" s="9">
        <f t="shared" ref="H53:I53" si="56">(H$51-$B$51)/$B$51</f>
        <v>-0.5682819383</v>
      </c>
      <c r="I53" s="9">
        <f t="shared" si="56"/>
        <v>-0.3612334802</v>
      </c>
      <c r="Y53" s="45"/>
      <c r="Z53" s="46"/>
      <c r="AA53" s="46"/>
    </row>
    <row r="54">
      <c r="B54" s="28" t="s">
        <v>49</v>
      </c>
      <c r="C54" s="29">
        <f>TTEST(B$45:B$50, C$45:C$50, 1, 1)</f>
        <v>0.00008098790974</v>
      </c>
      <c r="D54" s="29">
        <f>TTEST(B$45:B$50, D$45:D$50, 1, 1)</f>
        <v>0.1369468914</v>
      </c>
      <c r="G54" s="28" t="s">
        <v>49</v>
      </c>
      <c r="H54" s="29">
        <f>TTEST(G$45:G$50, H$45:H$50, 1, 1)</f>
        <v>0.002738844727</v>
      </c>
      <c r="I54" s="29">
        <f>TTEST(G$45:G$50, I$45:I$50, 1, 1)</f>
        <v>0.06064774424</v>
      </c>
      <c r="Y54" s="45"/>
      <c r="Z54" s="46"/>
      <c r="AA54" s="46"/>
    </row>
    <row r="55">
      <c r="A55" s="1" t="s">
        <v>51</v>
      </c>
      <c r="B55" s="50">
        <f t="shared" ref="B55:D55" si="57">STDEV(B45:B50)</f>
        <v>7.386925387</v>
      </c>
      <c r="C55" s="50">
        <f t="shared" si="57"/>
        <v>4.119061382</v>
      </c>
      <c r="D55" s="50">
        <f t="shared" si="57"/>
        <v>5.344779384</v>
      </c>
      <c r="F55" s="1"/>
      <c r="G55" s="4" t="s">
        <v>52</v>
      </c>
      <c r="H55" s="4" t="b">
        <v>1</v>
      </c>
      <c r="I55" s="4" t="b">
        <v>1</v>
      </c>
      <c r="Y55" s="45"/>
      <c r="Z55" s="46"/>
      <c r="AA55" s="46"/>
    </row>
    <row r="56">
      <c r="B56" s="4" t="s">
        <v>52</v>
      </c>
      <c r="C56" s="4" t="b">
        <v>1</v>
      </c>
      <c r="D56" s="4" t="b">
        <v>1</v>
      </c>
      <c r="Y56" s="45"/>
      <c r="Z56" s="46"/>
      <c r="AA56" s="46"/>
    </row>
    <row r="57">
      <c r="Y57" s="45"/>
      <c r="Z57" s="46"/>
      <c r="AA57" s="46"/>
    </row>
    <row r="58">
      <c r="Y58" s="45"/>
      <c r="Z58" s="46"/>
      <c r="AA58" s="46"/>
    </row>
    <row r="59">
      <c r="A59" s="1" t="s">
        <v>59</v>
      </c>
      <c r="B59" s="1" t="s">
        <v>60</v>
      </c>
      <c r="C59" s="1" t="s">
        <v>61</v>
      </c>
      <c r="D59" s="1" t="s">
        <v>62</v>
      </c>
      <c r="E59" s="1" t="s">
        <v>63</v>
      </c>
      <c r="F59" s="1" t="s">
        <v>64</v>
      </c>
      <c r="G59" s="1" t="s">
        <v>18</v>
      </c>
      <c r="H59" s="1" t="s">
        <v>9</v>
      </c>
      <c r="Y59" s="45"/>
      <c r="Z59" s="46"/>
      <c r="AA59" s="46"/>
    </row>
    <row r="60">
      <c r="B60" s="1" t="s">
        <v>65</v>
      </c>
      <c r="C60" s="39">
        <v>5.0</v>
      </c>
      <c r="D60" s="39">
        <v>2.0</v>
      </c>
      <c r="E60" s="39">
        <v>1.0</v>
      </c>
      <c r="F60" s="40">
        <f t="shared" ref="F60:F62" si="58">SUM(C60:E60)</f>
        <v>8</v>
      </c>
      <c r="G60" s="39">
        <v>0.71</v>
      </c>
      <c r="H60" s="39">
        <v>0.83</v>
      </c>
      <c r="Y60" s="45"/>
      <c r="Z60" s="46"/>
      <c r="AA60" s="46"/>
    </row>
    <row r="61">
      <c r="B61" s="1" t="s">
        <v>66</v>
      </c>
      <c r="C61" s="39">
        <v>10.0</v>
      </c>
      <c r="D61" s="39">
        <v>90.0</v>
      </c>
      <c r="E61" s="39">
        <v>7.0</v>
      </c>
      <c r="F61" s="40">
        <f t="shared" si="58"/>
        <v>107</v>
      </c>
      <c r="G61" s="39">
        <v>0.1</v>
      </c>
      <c r="H61" s="39">
        <v>0.58</v>
      </c>
      <c r="Y61" s="45"/>
      <c r="Z61" s="46"/>
      <c r="AA61" s="46"/>
    </row>
    <row r="62">
      <c r="B62" s="1" t="s">
        <v>67</v>
      </c>
      <c r="C62" s="39">
        <v>15.0</v>
      </c>
      <c r="D62" s="39">
        <v>11.0</v>
      </c>
      <c r="E62" s="39">
        <v>2.0</v>
      </c>
      <c r="F62" s="40">
        <f t="shared" si="58"/>
        <v>28</v>
      </c>
      <c r="G62" s="39">
        <v>0.57</v>
      </c>
      <c r="H62" s="39">
        <v>0.88</v>
      </c>
      <c r="Y62" s="45"/>
      <c r="Z62" s="46"/>
      <c r="AA62" s="46"/>
    </row>
    <row r="63">
      <c r="Y63" s="45"/>
      <c r="Z63" s="46"/>
      <c r="AA63" s="46"/>
    </row>
    <row r="64">
      <c r="F64" s="1" t="s">
        <v>68</v>
      </c>
      <c r="G64" s="13">
        <f>IFERROR(__xludf.DUMMYFUNCTION("AVERAGE.WEIGHTED(G60:G62,F60:F62)"),0.22615384615384615)</f>
        <v>0.2261538462</v>
      </c>
      <c r="H64" s="13">
        <f>IFERROR(__xludf.DUMMYFUNCTION("AVERAGE.WEIGHTED(H60:H62,F60:F62)"),0.6527272727272727)</f>
        <v>0.6527272727</v>
      </c>
      <c r="I64" s="17" t="s">
        <v>40</v>
      </c>
      <c r="Y64" s="45"/>
      <c r="Z64" s="46"/>
      <c r="AA64" s="46"/>
    </row>
    <row r="65">
      <c r="F65" s="1" t="s">
        <v>69</v>
      </c>
      <c r="G65" s="13">
        <f>SUM(C60:C62)/(SUM(C60:C62)+SUM(D60:D62))</f>
        <v>0.2255639098</v>
      </c>
      <c r="H65" s="13">
        <f>SUM(C60:C62)/(SUM(C60:C62)+SUM(E60:E62))</f>
        <v>0.75</v>
      </c>
      <c r="Y65" s="45"/>
      <c r="Z65" s="46"/>
      <c r="AA65" s="46"/>
    </row>
    <row r="66">
      <c r="Y66" s="45"/>
      <c r="Z66" s="46"/>
      <c r="AA66" s="46"/>
    </row>
    <row r="67">
      <c r="Y67" s="45"/>
      <c r="Z67" s="46"/>
      <c r="AA67" s="46"/>
    </row>
    <row r="68">
      <c r="Y68" s="45"/>
      <c r="Z68" s="46"/>
      <c r="AA68" s="46"/>
    </row>
    <row r="69">
      <c r="Y69" s="45"/>
      <c r="Z69" s="46"/>
      <c r="AA69" s="46"/>
    </row>
    <row r="70">
      <c r="Y70" s="45"/>
      <c r="Z70" s="46"/>
      <c r="AA70" s="46"/>
    </row>
    <row r="71">
      <c r="Y71" s="45"/>
      <c r="Z71" s="46"/>
      <c r="AA71" s="46"/>
    </row>
    <row r="72">
      <c r="Y72" s="45"/>
      <c r="Z72" s="46"/>
      <c r="AA72" s="46"/>
    </row>
    <row r="73">
      <c r="Y73" s="45"/>
      <c r="Z73" s="46"/>
      <c r="AA73" s="46"/>
    </row>
    <row r="74">
      <c r="Y74" s="45"/>
      <c r="Z74" s="46"/>
      <c r="AA74" s="46"/>
    </row>
    <row r="75">
      <c r="Y75" s="45"/>
      <c r="Z75" s="46"/>
      <c r="AA75" s="46"/>
    </row>
    <row r="76">
      <c r="Y76" s="45"/>
      <c r="Z76" s="46"/>
      <c r="AA76" s="46"/>
    </row>
    <row r="77">
      <c r="Y77" s="45"/>
      <c r="Z77" s="46"/>
      <c r="AA77" s="46"/>
    </row>
    <row r="78">
      <c r="Y78" s="45"/>
      <c r="Z78" s="46"/>
      <c r="AA78" s="46"/>
    </row>
    <row r="79">
      <c r="Y79" s="45"/>
      <c r="Z79" s="46"/>
      <c r="AA79" s="46"/>
    </row>
    <row r="80">
      <c r="Y80" s="45"/>
      <c r="Z80" s="46"/>
      <c r="AA80" s="46"/>
    </row>
    <row r="81">
      <c r="Y81" s="45"/>
      <c r="Z81" s="46"/>
      <c r="AA81" s="46"/>
    </row>
    <row r="82">
      <c r="Y82" s="45"/>
      <c r="Z82" s="46"/>
      <c r="AA82" s="46"/>
    </row>
    <row r="83">
      <c r="Y83" s="45"/>
      <c r="Z83" s="46"/>
      <c r="AA83" s="46"/>
    </row>
    <row r="84">
      <c r="Y84" s="45"/>
      <c r="Z84" s="46"/>
      <c r="AA84" s="46"/>
    </row>
    <row r="85">
      <c r="Y85" s="45"/>
      <c r="Z85" s="46"/>
      <c r="AA85" s="46"/>
    </row>
    <row r="86">
      <c r="Y86" s="45"/>
      <c r="Z86" s="46"/>
      <c r="AA86" s="46"/>
    </row>
    <row r="87">
      <c r="Y87" s="45"/>
      <c r="Z87" s="46"/>
      <c r="AA87" s="46"/>
    </row>
    <row r="88">
      <c r="Y88" s="45"/>
      <c r="Z88" s="46"/>
      <c r="AA88" s="46"/>
    </row>
    <row r="89">
      <c r="Y89" s="45"/>
      <c r="Z89" s="46"/>
      <c r="AA89" s="46"/>
    </row>
    <row r="90">
      <c r="Y90" s="45"/>
      <c r="Z90" s="46"/>
      <c r="AA90" s="46"/>
    </row>
    <row r="91">
      <c r="Y91" s="45"/>
      <c r="Z91" s="46"/>
      <c r="AA91" s="46"/>
    </row>
    <row r="92">
      <c r="Y92" s="45"/>
      <c r="Z92" s="46"/>
      <c r="AA92" s="46"/>
    </row>
    <row r="93">
      <c r="Y93" s="45"/>
      <c r="Z93" s="46"/>
      <c r="AA93" s="46"/>
    </row>
    <row r="94">
      <c r="Y94" s="45"/>
      <c r="Z94" s="46"/>
      <c r="AA94" s="46"/>
    </row>
    <row r="95">
      <c r="Y95" s="45"/>
      <c r="Z95" s="46"/>
      <c r="AA95" s="46"/>
    </row>
    <row r="96">
      <c r="Y96" s="45"/>
      <c r="Z96" s="46"/>
      <c r="AA96" s="46"/>
    </row>
    <row r="97">
      <c r="Y97" s="45"/>
      <c r="Z97" s="46"/>
      <c r="AA97" s="46"/>
    </row>
    <row r="98">
      <c r="Y98" s="45"/>
      <c r="Z98" s="46"/>
      <c r="AA98" s="46"/>
    </row>
    <row r="99">
      <c r="Y99" s="45"/>
      <c r="Z99" s="46"/>
      <c r="AA99" s="46"/>
    </row>
    <row r="100">
      <c r="Y100" s="45"/>
      <c r="Z100" s="46"/>
      <c r="AA100" s="46"/>
    </row>
    <row r="101">
      <c r="Y101" s="45"/>
      <c r="Z101" s="46"/>
      <c r="AA101" s="46"/>
    </row>
    <row r="102">
      <c r="Y102" s="45"/>
      <c r="Z102" s="46"/>
      <c r="AA102" s="46"/>
    </row>
    <row r="103">
      <c r="Y103" s="45"/>
      <c r="Z103" s="46"/>
      <c r="AA103" s="46"/>
    </row>
    <row r="104">
      <c r="Y104" s="45"/>
      <c r="Z104" s="46"/>
      <c r="AA104" s="46"/>
    </row>
    <row r="105">
      <c r="Y105" s="45"/>
      <c r="Z105" s="46"/>
      <c r="AA105" s="46"/>
    </row>
    <row r="106">
      <c r="Y106" s="45"/>
      <c r="Z106" s="46"/>
      <c r="AA106" s="46"/>
    </row>
    <row r="107">
      <c r="Y107" s="45"/>
      <c r="Z107" s="46"/>
      <c r="AA107" s="46"/>
    </row>
    <row r="108">
      <c r="Y108" s="45"/>
      <c r="Z108" s="46"/>
      <c r="AA108" s="46"/>
    </row>
    <row r="109">
      <c r="Y109" s="45"/>
      <c r="Z109" s="46"/>
      <c r="AA109" s="46"/>
    </row>
    <row r="110">
      <c r="Y110" s="45"/>
      <c r="Z110" s="46"/>
      <c r="AA110" s="46"/>
    </row>
    <row r="111">
      <c r="Y111" s="45"/>
      <c r="Z111" s="46"/>
      <c r="AA111" s="46"/>
    </row>
    <row r="112">
      <c r="Y112" s="45"/>
      <c r="Z112" s="46"/>
      <c r="AA112" s="46"/>
    </row>
    <row r="113">
      <c r="Y113" s="45"/>
      <c r="Z113" s="46"/>
      <c r="AA113" s="46"/>
    </row>
    <row r="114">
      <c r="Y114" s="45"/>
      <c r="Z114" s="46"/>
      <c r="AA114" s="46"/>
    </row>
    <row r="115">
      <c r="Y115" s="45"/>
      <c r="Z115" s="46"/>
      <c r="AA115" s="46"/>
    </row>
    <row r="116">
      <c r="Y116" s="45"/>
      <c r="Z116" s="46"/>
      <c r="AA116" s="46"/>
    </row>
    <row r="117">
      <c r="Y117" s="45"/>
      <c r="Z117" s="46"/>
      <c r="AA117" s="46"/>
    </row>
    <row r="118">
      <c r="Y118" s="45"/>
      <c r="Z118" s="46"/>
      <c r="AA118" s="46"/>
    </row>
    <row r="119">
      <c r="Y119" s="45"/>
      <c r="Z119" s="46"/>
      <c r="AA119" s="46"/>
    </row>
    <row r="120">
      <c r="Y120" s="45"/>
      <c r="Z120" s="46"/>
      <c r="AA120" s="46"/>
    </row>
    <row r="121">
      <c r="Y121" s="45"/>
      <c r="Z121" s="46"/>
      <c r="AA121" s="46"/>
    </row>
    <row r="122">
      <c r="Y122" s="45"/>
      <c r="Z122" s="46"/>
      <c r="AA122" s="46"/>
    </row>
    <row r="123">
      <c r="Y123" s="45"/>
      <c r="Z123" s="46"/>
      <c r="AA123" s="46"/>
    </row>
    <row r="124">
      <c r="Y124" s="45"/>
      <c r="Z124" s="46"/>
      <c r="AA124" s="46"/>
    </row>
    <row r="125">
      <c r="Y125" s="45"/>
      <c r="Z125" s="46"/>
      <c r="AA125" s="46"/>
    </row>
    <row r="126">
      <c r="Y126" s="45"/>
      <c r="Z126" s="46"/>
      <c r="AA126" s="46"/>
    </row>
    <row r="127">
      <c r="Y127" s="45"/>
      <c r="Z127" s="46"/>
      <c r="AA127" s="46"/>
    </row>
    <row r="128">
      <c r="Y128" s="45"/>
      <c r="Z128" s="46"/>
      <c r="AA128" s="46"/>
    </row>
    <row r="129">
      <c r="Y129" s="45"/>
      <c r="Z129" s="46"/>
      <c r="AA129" s="46"/>
    </row>
    <row r="130">
      <c r="Y130" s="45"/>
      <c r="Z130" s="46"/>
      <c r="AA130" s="46"/>
    </row>
    <row r="131">
      <c r="Y131" s="45"/>
      <c r="Z131" s="46"/>
      <c r="AA131" s="46"/>
    </row>
    <row r="132">
      <c r="Y132" s="45"/>
      <c r="Z132" s="46"/>
      <c r="AA132" s="46"/>
    </row>
    <row r="133">
      <c r="Y133" s="45"/>
      <c r="Z133" s="46"/>
      <c r="AA133" s="46"/>
    </row>
    <row r="134">
      <c r="Y134" s="45"/>
      <c r="Z134" s="46"/>
      <c r="AA134" s="46"/>
    </row>
    <row r="135">
      <c r="Y135" s="45"/>
      <c r="Z135" s="46"/>
      <c r="AA135" s="46"/>
    </row>
    <row r="136">
      <c r="Y136" s="45"/>
      <c r="Z136" s="46"/>
      <c r="AA136" s="46"/>
    </row>
    <row r="137">
      <c r="Y137" s="45"/>
      <c r="Z137" s="46"/>
      <c r="AA137" s="46"/>
    </row>
    <row r="138">
      <c r="Y138" s="45"/>
      <c r="Z138" s="46"/>
      <c r="AA138" s="46"/>
    </row>
    <row r="139">
      <c r="Y139" s="45"/>
      <c r="Z139" s="46"/>
      <c r="AA139" s="46"/>
    </row>
    <row r="140">
      <c r="Y140" s="45"/>
      <c r="Z140" s="46"/>
      <c r="AA140" s="46"/>
    </row>
    <row r="141">
      <c r="Y141" s="45"/>
      <c r="Z141" s="46"/>
      <c r="AA141" s="46"/>
    </row>
    <row r="142">
      <c r="Y142" s="45"/>
      <c r="Z142" s="46"/>
      <c r="AA142" s="46"/>
    </row>
    <row r="143">
      <c r="Y143" s="45"/>
      <c r="Z143" s="46"/>
      <c r="AA143" s="46"/>
    </row>
    <row r="144">
      <c r="Y144" s="45"/>
      <c r="Z144" s="46"/>
      <c r="AA144" s="46"/>
    </row>
    <row r="145">
      <c r="Y145" s="45"/>
      <c r="Z145" s="46"/>
      <c r="AA145" s="46"/>
    </row>
    <row r="146">
      <c r="Y146" s="45"/>
      <c r="Z146" s="46"/>
      <c r="AA146" s="46"/>
    </row>
    <row r="147">
      <c r="Y147" s="45"/>
      <c r="Z147" s="46"/>
      <c r="AA147" s="46"/>
    </row>
    <row r="148">
      <c r="Y148" s="45"/>
      <c r="Z148" s="46"/>
      <c r="AA148" s="46"/>
    </row>
    <row r="149">
      <c r="Y149" s="45"/>
      <c r="Z149" s="46"/>
      <c r="AA149" s="46"/>
    </row>
    <row r="150">
      <c r="Y150" s="45"/>
      <c r="Z150" s="46"/>
      <c r="AA150" s="46"/>
    </row>
    <row r="151">
      <c r="Y151" s="45"/>
      <c r="Z151" s="46"/>
      <c r="AA151" s="46"/>
    </row>
    <row r="152">
      <c r="Y152" s="45"/>
      <c r="Z152" s="46"/>
      <c r="AA152" s="46"/>
    </row>
    <row r="153">
      <c r="Y153" s="45"/>
      <c r="Z153" s="46"/>
      <c r="AA153" s="46"/>
    </row>
    <row r="154">
      <c r="Y154" s="45"/>
      <c r="Z154" s="46"/>
      <c r="AA154" s="46"/>
    </row>
    <row r="155">
      <c r="Y155" s="45"/>
      <c r="Z155" s="46"/>
      <c r="AA155" s="46"/>
    </row>
    <row r="156">
      <c r="Y156" s="45"/>
      <c r="Z156" s="46"/>
      <c r="AA156" s="46"/>
    </row>
    <row r="157">
      <c r="Y157" s="45"/>
      <c r="Z157" s="46"/>
      <c r="AA157" s="46"/>
    </row>
    <row r="158">
      <c r="Y158" s="45"/>
      <c r="Z158" s="46"/>
      <c r="AA158" s="46"/>
    </row>
    <row r="159">
      <c r="Y159" s="45"/>
      <c r="Z159" s="46"/>
      <c r="AA159" s="46"/>
    </row>
    <row r="160">
      <c r="Y160" s="45"/>
      <c r="Z160" s="46"/>
      <c r="AA160" s="46"/>
    </row>
    <row r="161">
      <c r="Y161" s="45"/>
      <c r="Z161" s="46"/>
      <c r="AA161" s="46"/>
    </row>
    <row r="162">
      <c r="Y162" s="45"/>
      <c r="Z162" s="46"/>
      <c r="AA162" s="46"/>
    </row>
    <row r="163">
      <c r="Y163" s="45"/>
      <c r="Z163" s="46"/>
      <c r="AA163" s="46"/>
    </row>
    <row r="164">
      <c r="Y164" s="45"/>
      <c r="Z164" s="46"/>
      <c r="AA164" s="46"/>
    </row>
    <row r="165">
      <c r="Y165" s="45"/>
      <c r="Z165" s="46"/>
      <c r="AA165" s="46"/>
    </row>
    <row r="166">
      <c r="Y166" s="45"/>
      <c r="Z166" s="46"/>
      <c r="AA166" s="46"/>
    </row>
    <row r="167">
      <c r="Y167" s="45"/>
      <c r="Z167" s="46"/>
      <c r="AA167" s="46"/>
    </row>
    <row r="168">
      <c r="Y168" s="45"/>
      <c r="Z168" s="46"/>
      <c r="AA168" s="46"/>
    </row>
    <row r="169">
      <c r="Y169" s="45"/>
      <c r="Z169" s="46"/>
      <c r="AA169" s="46"/>
    </row>
    <row r="170">
      <c r="Y170" s="45"/>
      <c r="Z170" s="46"/>
      <c r="AA170" s="46"/>
    </row>
    <row r="171">
      <c r="Y171" s="45"/>
      <c r="Z171" s="46"/>
      <c r="AA171" s="46"/>
    </row>
    <row r="172">
      <c r="Y172" s="45"/>
      <c r="Z172" s="46"/>
      <c r="AA172" s="46"/>
    </row>
    <row r="173">
      <c r="Y173" s="45"/>
      <c r="Z173" s="46"/>
      <c r="AA173" s="46"/>
    </row>
    <row r="174">
      <c r="Y174" s="45"/>
      <c r="Z174" s="46"/>
      <c r="AA174" s="46"/>
    </row>
    <row r="175">
      <c r="Y175" s="45"/>
      <c r="Z175" s="46"/>
      <c r="AA175" s="46"/>
    </row>
    <row r="176">
      <c r="Y176" s="45"/>
      <c r="Z176" s="46"/>
      <c r="AA176" s="46"/>
    </row>
    <row r="177">
      <c r="Y177" s="45"/>
      <c r="Z177" s="46"/>
      <c r="AA177" s="46"/>
    </row>
    <row r="178">
      <c r="Y178" s="45"/>
      <c r="Z178" s="46"/>
      <c r="AA178" s="46"/>
    </row>
    <row r="179">
      <c r="Y179" s="45"/>
      <c r="Z179" s="46"/>
      <c r="AA179" s="46"/>
    </row>
    <row r="180">
      <c r="Y180" s="45"/>
      <c r="Z180" s="46"/>
      <c r="AA180" s="46"/>
    </row>
    <row r="181">
      <c r="Y181" s="45"/>
      <c r="Z181" s="46"/>
      <c r="AA181" s="46"/>
    </row>
    <row r="182">
      <c r="Y182" s="45"/>
      <c r="Z182" s="46"/>
      <c r="AA182" s="46"/>
    </row>
    <row r="183">
      <c r="Y183" s="45"/>
      <c r="Z183" s="46"/>
      <c r="AA183" s="46"/>
    </row>
    <row r="184">
      <c r="Y184" s="45"/>
      <c r="Z184" s="46"/>
      <c r="AA184" s="46"/>
    </row>
    <row r="185">
      <c r="Y185" s="45"/>
      <c r="Z185" s="46"/>
      <c r="AA185" s="46"/>
    </row>
    <row r="186">
      <c r="Y186" s="45"/>
      <c r="Z186" s="46"/>
      <c r="AA186" s="46"/>
    </row>
    <row r="187">
      <c r="Y187" s="45"/>
      <c r="Z187" s="46"/>
      <c r="AA187" s="46"/>
    </row>
    <row r="188">
      <c r="Y188" s="45"/>
      <c r="Z188" s="46"/>
      <c r="AA188" s="46"/>
    </row>
    <row r="189">
      <c r="Y189" s="45"/>
      <c r="Z189" s="46"/>
      <c r="AA189" s="46"/>
    </row>
    <row r="190">
      <c r="Y190" s="45"/>
      <c r="Z190" s="46"/>
      <c r="AA190" s="46"/>
    </row>
    <row r="191">
      <c r="Y191" s="45"/>
      <c r="Z191" s="46"/>
      <c r="AA191" s="46"/>
    </row>
    <row r="192">
      <c r="Y192" s="45"/>
      <c r="Z192" s="46"/>
      <c r="AA192" s="46"/>
    </row>
    <row r="193">
      <c r="Y193" s="45"/>
      <c r="Z193" s="46"/>
      <c r="AA193" s="46"/>
    </row>
    <row r="194">
      <c r="Y194" s="45"/>
      <c r="Z194" s="46"/>
      <c r="AA194" s="46"/>
    </row>
    <row r="195">
      <c r="Y195" s="45"/>
      <c r="Z195" s="46"/>
      <c r="AA195" s="46"/>
    </row>
    <row r="196">
      <c r="Y196" s="45"/>
      <c r="Z196" s="46"/>
      <c r="AA196" s="46"/>
    </row>
    <row r="197">
      <c r="Y197" s="45"/>
      <c r="Z197" s="46"/>
      <c r="AA197" s="46"/>
    </row>
    <row r="198">
      <c r="Y198" s="45"/>
      <c r="Z198" s="46"/>
      <c r="AA198" s="46"/>
    </row>
    <row r="199">
      <c r="Y199" s="45"/>
      <c r="Z199" s="46"/>
      <c r="AA199" s="46"/>
    </row>
    <row r="200">
      <c r="Y200" s="45"/>
      <c r="Z200" s="46"/>
      <c r="AA200" s="46"/>
    </row>
    <row r="201">
      <c r="Y201" s="45"/>
      <c r="Z201" s="46"/>
      <c r="AA201" s="46"/>
    </row>
    <row r="202">
      <c r="Y202" s="45"/>
      <c r="Z202" s="46"/>
      <c r="AA202" s="46"/>
    </row>
    <row r="203">
      <c r="Y203" s="45"/>
      <c r="Z203" s="46"/>
      <c r="AA203" s="46"/>
    </row>
    <row r="204">
      <c r="Y204" s="45"/>
      <c r="Z204" s="46"/>
      <c r="AA204" s="46"/>
    </row>
    <row r="205">
      <c r="Y205" s="45"/>
      <c r="Z205" s="46"/>
      <c r="AA205" s="46"/>
    </row>
    <row r="206">
      <c r="Y206" s="45"/>
      <c r="Z206" s="46"/>
      <c r="AA206" s="46"/>
    </row>
    <row r="207">
      <c r="Y207" s="45"/>
      <c r="Z207" s="46"/>
      <c r="AA207" s="46"/>
    </row>
    <row r="208">
      <c r="Y208" s="45"/>
      <c r="Z208" s="46"/>
      <c r="AA208" s="46"/>
    </row>
    <row r="209">
      <c r="Y209" s="45"/>
      <c r="Z209" s="46"/>
      <c r="AA209" s="46"/>
    </row>
    <row r="210">
      <c r="Y210" s="45"/>
      <c r="Z210" s="46"/>
      <c r="AA210" s="46"/>
    </row>
    <row r="211">
      <c r="Y211" s="45"/>
      <c r="Z211" s="46"/>
      <c r="AA211" s="46"/>
    </row>
    <row r="212">
      <c r="Y212" s="45"/>
      <c r="Z212" s="46"/>
      <c r="AA212" s="46"/>
    </row>
    <row r="213">
      <c r="Y213" s="45"/>
      <c r="Z213" s="46"/>
      <c r="AA213" s="46"/>
    </row>
    <row r="214">
      <c r="Y214" s="45"/>
      <c r="Z214" s="46"/>
      <c r="AA214" s="46"/>
    </row>
    <row r="215">
      <c r="Y215" s="45"/>
      <c r="Z215" s="46"/>
      <c r="AA215" s="46"/>
    </row>
    <row r="216">
      <c r="Y216" s="45"/>
      <c r="Z216" s="46"/>
      <c r="AA216" s="46"/>
    </row>
    <row r="217">
      <c r="Y217" s="45"/>
      <c r="Z217" s="46"/>
      <c r="AA217" s="46"/>
    </row>
    <row r="218">
      <c r="Y218" s="45"/>
      <c r="Z218" s="46"/>
      <c r="AA218" s="46"/>
    </row>
    <row r="219">
      <c r="Y219" s="45"/>
      <c r="Z219" s="46"/>
      <c r="AA219" s="46"/>
    </row>
    <row r="220">
      <c r="Y220" s="45"/>
      <c r="Z220" s="46"/>
      <c r="AA220" s="46"/>
    </row>
    <row r="221">
      <c r="Y221" s="45"/>
      <c r="Z221" s="46"/>
      <c r="AA221" s="46"/>
    </row>
    <row r="222">
      <c r="Y222" s="45"/>
      <c r="Z222" s="46"/>
      <c r="AA222" s="46"/>
    </row>
    <row r="223">
      <c r="Y223" s="45"/>
      <c r="Z223" s="46"/>
      <c r="AA223" s="46"/>
    </row>
    <row r="224">
      <c r="Y224" s="45"/>
      <c r="Z224" s="46"/>
      <c r="AA224" s="46"/>
    </row>
    <row r="225">
      <c r="Y225" s="45"/>
      <c r="Z225" s="46"/>
      <c r="AA225" s="46"/>
    </row>
    <row r="226">
      <c r="Y226" s="45"/>
      <c r="Z226" s="46"/>
      <c r="AA226" s="46"/>
    </row>
    <row r="227">
      <c r="Y227" s="45"/>
      <c r="Z227" s="46"/>
      <c r="AA227" s="46"/>
    </row>
    <row r="228">
      <c r="Y228" s="45"/>
      <c r="Z228" s="46"/>
      <c r="AA228" s="46"/>
    </row>
    <row r="229">
      <c r="Y229" s="45"/>
      <c r="Z229" s="46"/>
      <c r="AA229" s="46"/>
    </row>
    <row r="230">
      <c r="Y230" s="45"/>
      <c r="Z230" s="46"/>
      <c r="AA230" s="46"/>
    </row>
    <row r="231">
      <c r="Y231" s="45"/>
      <c r="Z231" s="46"/>
      <c r="AA231" s="46"/>
    </row>
    <row r="232">
      <c r="Y232" s="45"/>
      <c r="Z232" s="46"/>
      <c r="AA232" s="46"/>
    </row>
    <row r="233">
      <c r="Y233" s="45"/>
      <c r="Z233" s="46"/>
      <c r="AA233" s="46"/>
    </row>
    <row r="234">
      <c r="Y234" s="45"/>
      <c r="Z234" s="46"/>
      <c r="AA234" s="46"/>
    </row>
    <row r="235">
      <c r="Y235" s="45"/>
      <c r="Z235" s="46"/>
      <c r="AA235" s="46"/>
    </row>
    <row r="236">
      <c r="Y236" s="45"/>
      <c r="Z236" s="46"/>
      <c r="AA236" s="46"/>
    </row>
    <row r="237">
      <c r="Y237" s="45"/>
      <c r="Z237" s="46"/>
      <c r="AA237" s="46"/>
    </row>
    <row r="238">
      <c r="Y238" s="45"/>
      <c r="Z238" s="46"/>
      <c r="AA238" s="46"/>
    </row>
    <row r="239">
      <c r="Y239" s="45"/>
      <c r="Z239" s="46"/>
      <c r="AA239" s="46"/>
    </row>
    <row r="240">
      <c r="Y240" s="45"/>
      <c r="Z240" s="46"/>
      <c r="AA240" s="46"/>
    </row>
    <row r="241">
      <c r="Y241" s="45"/>
      <c r="Z241" s="46"/>
      <c r="AA241" s="46"/>
    </row>
    <row r="242">
      <c r="Y242" s="45"/>
      <c r="Z242" s="46"/>
      <c r="AA242" s="46"/>
    </row>
    <row r="243">
      <c r="Y243" s="45"/>
      <c r="Z243" s="46"/>
      <c r="AA243" s="46"/>
    </row>
    <row r="244">
      <c r="Y244" s="45"/>
      <c r="Z244" s="46"/>
      <c r="AA244" s="46"/>
    </row>
    <row r="245">
      <c r="Y245" s="45"/>
      <c r="Z245" s="46"/>
      <c r="AA245" s="46"/>
    </row>
    <row r="246">
      <c r="Y246" s="45"/>
      <c r="Z246" s="46"/>
      <c r="AA246" s="46"/>
    </row>
    <row r="247">
      <c r="Y247" s="45"/>
      <c r="Z247" s="46"/>
      <c r="AA247" s="46"/>
    </row>
    <row r="248">
      <c r="Y248" s="45"/>
      <c r="Z248" s="46"/>
      <c r="AA248" s="46"/>
    </row>
    <row r="249">
      <c r="Y249" s="45"/>
      <c r="Z249" s="46"/>
      <c r="AA249" s="46"/>
    </row>
    <row r="250">
      <c r="Y250" s="45"/>
      <c r="Z250" s="46"/>
      <c r="AA250" s="46"/>
    </row>
    <row r="251">
      <c r="Y251" s="45"/>
      <c r="Z251" s="46"/>
      <c r="AA251" s="46"/>
    </row>
    <row r="252">
      <c r="Y252" s="45"/>
      <c r="Z252" s="46"/>
      <c r="AA252" s="46"/>
    </row>
    <row r="253">
      <c r="Y253" s="45"/>
      <c r="Z253" s="46"/>
      <c r="AA253" s="46"/>
    </row>
    <row r="254">
      <c r="Y254" s="45"/>
      <c r="Z254" s="46"/>
      <c r="AA254" s="46"/>
    </row>
    <row r="255">
      <c r="Y255" s="45"/>
      <c r="Z255" s="46"/>
      <c r="AA255" s="46"/>
    </row>
    <row r="256">
      <c r="Y256" s="45"/>
      <c r="Z256" s="46"/>
      <c r="AA256" s="46"/>
    </row>
    <row r="257">
      <c r="Y257" s="45"/>
      <c r="Z257" s="46"/>
      <c r="AA257" s="46"/>
    </row>
    <row r="258">
      <c r="Y258" s="45"/>
      <c r="Z258" s="46"/>
      <c r="AA258" s="46"/>
    </row>
    <row r="259">
      <c r="Y259" s="45"/>
      <c r="Z259" s="46"/>
      <c r="AA259" s="46"/>
    </row>
    <row r="260">
      <c r="Y260" s="45"/>
      <c r="Z260" s="46"/>
      <c r="AA260" s="46"/>
    </row>
    <row r="261">
      <c r="Y261" s="45"/>
      <c r="Z261" s="46"/>
      <c r="AA261" s="46"/>
    </row>
    <row r="262">
      <c r="Y262" s="45"/>
      <c r="Z262" s="46"/>
      <c r="AA262" s="46"/>
    </row>
    <row r="263">
      <c r="Y263" s="45"/>
      <c r="Z263" s="46"/>
      <c r="AA263" s="46"/>
    </row>
    <row r="264">
      <c r="Y264" s="45"/>
      <c r="Z264" s="46"/>
      <c r="AA264" s="46"/>
    </row>
    <row r="265">
      <c r="Y265" s="45"/>
      <c r="Z265" s="46"/>
      <c r="AA265" s="46"/>
    </row>
    <row r="266">
      <c r="Y266" s="45"/>
      <c r="Z266" s="46"/>
      <c r="AA266" s="46"/>
    </row>
    <row r="267">
      <c r="Y267" s="45"/>
      <c r="Z267" s="46"/>
      <c r="AA267" s="46"/>
    </row>
    <row r="268">
      <c r="Y268" s="45"/>
      <c r="Z268" s="46"/>
      <c r="AA268" s="46"/>
    </row>
    <row r="269">
      <c r="Y269" s="45"/>
      <c r="Z269" s="46"/>
      <c r="AA269" s="46"/>
    </row>
    <row r="270">
      <c r="Y270" s="45"/>
      <c r="Z270" s="46"/>
      <c r="AA270" s="46"/>
    </row>
    <row r="271">
      <c r="Y271" s="45"/>
      <c r="Z271" s="46"/>
      <c r="AA271" s="46"/>
    </row>
    <row r="272">
      <c r="Y272" s="45"/>
      <c r="Z272" s="46"/>
      <c r="AA272" s="46"/>
    </row>
    <row r="273">
      <c r="Y273" s="45"/>
      <c r="Z273" s="46"/>
      <c r="AA273" s="46"/>
    </row>
    <row r="274">
      <c r="Y274" s="45"/>
      <c r="Z274" s="46"/>
      <c r="AA274" s="46"/>
    </row>
    <row r="275">
      <c r="Y275" s="45"/>
      <c r="Z275" s="46"/>
      <c r="AA275" s="46"/>
    </row>
    <row r="276">
      <c r="Y276" s="45"/>
      <c r="Z276" s="46"/>
      <c r="AA276" s="46"/>
    </row>
    <row r="277">
      <c r="Y277" s="45"/>
      <c r="Z277" s="46"/>
      <c r="AA277" s="46"/>
    </row>
    <row r="278">
      <c r="Y278" s="45"/>
      <c r="Z278" s="46"/>
      <c r="AA278" s="46"/>
    </row>
    <row r="279">
      <c r="Y279" s="45"/>
      <c r="Z279" s="46"/>
      <c r="AA279" s="46"/>
    </row>
    <row r="280">
      <c r="Y280" s="45"/>
      <c r="Z280" s="46"/>
      <c r="AA280" s="46"/>
    </row>
    <row r="281">
      <c r="Y281" s="45"/>
      <c r="Z281" s="46"/>
      <c r="AA281" s="46"/>
    </row>
    <row r="282">
      <c r="Y282" s="45"/>
      <c r="Z282" s="46"/>
      <c r="AA282" s="46"/>
    </row>
    <row r="283">
      <c r="Y283" s="45"/>
      <c r="Z283" s="46"/>
      <c r="AA283" s="46"/>
    </row>
    <row r="284">
      <c r="Y284" s="45"/>
      <c r="Z284" s="46"/>
      <c r="AA284" s="46"/>
    </row>
    <row r="285">
      <c r="Y285" s="45"/>
      <c r="Z285" s="46"/>
      <c r="AA285" s="46"/>
    </row>
    <row r="286">
      <c r="Y286" s="45"/>
      <c r="Z286" s="46"/>
      <c r="AA286" s="46"/>
    </row>
    <row r="287">
      <c r="Y287" s="45"/>
      <c r="Z287" s="46"/>
      <c r="AA287" s="46"/>
    </row>
    <row r="288">
      <c r="Y288" s="45"/>
      <c r="Z288" s="46"/>
      <c r="AA288" s="46"/>
    </row>
    <row r="289">
      <c r="Y289" s="45"/>
      <c r="Z289" s="46"/>
      <c r="AA289" s="46"/>
    </row>
    <row r="290">
      <c r="Y290" s="45"/>
      <c r="Z290" s="46"/>
      <c r="AA290" s="46"/>
    </row>
    <row r="291">
      <c r="Y291" s="45"/>
      <c r="Z291" s="46"/>
      <c r="AA291" s="46"/>
    </row>
    <row r="292">
      <c r="Y292" s="45"/>
      <c r="Z292" s="46"/>
      <c r="AA292" s="46"/>
    </row>
    <row r="293">
      <c r="Y293" s="45"/>
      <c r="Z293" s="46"/>
      <c r="AA293" s="46"/>
    </row>
    <row r="294">
      <c r="Y294" s="45"/>
      <c r="Z294" s="46"/>
      <c r="AA294" s="46"/>
    </row>
    <row r="295">
      <c r="Y295" s="45"/>
      <c r="Z295" s="46"/>
      <c r="AA295" s="46"/>
    </row>
    <row r="296">
      <c r="Y296" s="45"/>
      <c r="Z296" s="46"/>
      <c r="AA296" s="46"/>
    </row>
    <row r="297">
      <c r="Y297" s="45"/>
      <c r="Z297" s="46"/>
      <c r="AA297" s="46"/>
    </row>
    <row r="298">
      <c r="Y298" s="45"/>
      <c r="Z298" s="46"/>
      <c r="AA298" s="46"/>
    </row>
    <row r="299">
      <c r="Y299" s="45"/>
      <c r="Z299" s="46"/>
      <c r="AA299" s="46"/>
    </row>
    <row r="300">
      <c r="Y300" s="45"/>
      <c r="Z300" s="46"/>
      <c r="AA300" s="46"/>
    </row>
    <row r="301">
      <c r="Y301" s="45"/>
      <c r="Z301" s="46"/>
      <c r="AA301" s="46"/>
    </row>
    <row r="302">
      <c r="Y302" s="45"/>
      <c r="Z302" s="46"/>
      <c r="AA302" s="46"/>
    </row>
    <row r="303">
      <c r="Y303" s="45"/>
      <c r="Z303" s="46"/>
      <c r="AA303" s="46"/>
    </row>
    <row r="304">
      <c r="Y304" s="45"/>
      <c r="Z304" s="46"/>
      <c r="AA304" s="46"/>
    </row>
    <row r="305">
      <c r="Y305" s="45"/>
      <c r="Z305" s="46"/>
      <c r="AA305" s="46"/>
    </row>
    <row r="306">
      <c r="Y306" s="45"/>
      <c r="Z306" s="46"/>
      <c r="AA306" s="46"/>
    </row>
    <row r="307">
      <c r="Y307" s="45"/>
      <c r="Z307" s="46"/>
      <c r="AA307" s="46"/>
    </row>
    <row r="308">
      <c r="Y308" s="45"/>
      <c r="Z308" s="46"/>
      <c r="AA308" s="46"/>
    </row>
    <row r="309">
      <c r="Y309" s="45"/>
      <c r="Z309" s="46"/>
      <c r="AA309" s="46"/>
    </row>
    <row r="310">
      <c r="Y310" s="45"/>
      <c r="Z310" s="46"/>
      <c r="AA310" s="46"/>
    </row>
    <row r="311">
      <c r="Y311" s="45"/>
      <c r="Z311" s="46"/>
      <c r="AA311" s="46"/>
    </row>
    <row r="312">
      <c r="Y312" s="45"/>
      <c r="Z312" s="46"/>
      <c r="AA312" s="46"/>
    </row>
    <row r="313">
      <c r="Y313" s="45"/>
      <c r="Z313" s="46"/>
      <c r="AA313" s="46"/>
    </row>
    <row r="314">
      <c r="Y314" s="45"/>
      <c r="Z314" s="46"/>
      <c r="AA314" s="46"/>
    </row>
    <row r="315">
      <c r="Y315" s="45"/>
      <c r="Z315" s="46"/>
      <c r="AA315" s="46"/>
    </row>
    <row r="316">
      <c r="Y316" s="45"/>
      <c r="Z316" s="46"/>
      <c r="AA316" s="46"/>
    </row>
    <row r="317">
      <c r="Y317" s="45"/>
      <c r="Z317" s="46"/>
      <c r="AA317" s="46"/>
    </row>
    <row r="318">
      <c r="Y318" s="45"/>
      <c r="Z318" s="46"/>
      <c r="AA318" s="46"/>
    </row>
    <row r="319">
      <c r="Y319" s="45"/>
      <c r="Z319" s="46"/>
      <c r="AA319" s="46"/>
    </row>
    <row r="320">
      <c r="Y320" s="45"/>
      <c r="Z320" s="46"/>
      <c r="AA320" s="46"/>
    </row>
    <row r="321">
      <c r="Y321" s="45"/>
      <c r="Z321" s="46"/>
      <c r="AA321" s="46"/>
    </row>
    <row r="322">
      <c r="Y322" s="45"/>
      <c r="Z322" s="46"/>
      <c r="AA322" s="46"/>
    </row>
    <row r="323">
      <c r="Y323" s="45"/>
      <c r="Z323" s="46"/>
      <c r="AA323" s="46"/>
    </row>
    <row r="324">
      <c r="Y324" s="45"/>
      <c r="Z324" s="46"/>
      <c r="AA324" s="46"/>
    </row>
    <row r="325">
      <c r="Y325" s="45"/>
      <c r="Z325" s="46"/>
      <c r="AA325" s="46"/>
    </row>
    <row r="326">
      <c r="Y326" s="45"/>
      <c r="Z326" s="46"/>
      <c r="AA326" s="46"/>
    </row>
    <row r="327">
      <c r="Y327" s="45"/>
      <c r="Z327" s="46"/>
      <c r="AA327" s="46"/>
    </row>
    <row r="328">
      <c r="Y328" s="45"/>
      <c r="Z328" s="46"/>
      <c r="AA328" s="46"/>
    </row>
    <row r="329">
      <c r="Y329" s="45"/>
      <c r="Z329" s="46"/>
      <c r="AA329" s="46"/>
    </row>
    <row r="330">
      <c r="Y330" s="45"/>
      <c r="Z330" s="46"/>
      <c r="AA330" s="46"/>
    </row>
    <row r="331">
      <c r="Y331" s="45"/>
      <c r="Z331" s="46"/>
      <c r="AA331" s="46"/>
    </row>
    <row r="332">
      <c r="Y332" s="45"/>
      <c r="Z332" s="46"/>
      <c r="AA332" s="46"/>
    </row>
    <row r="333">
      <c r="Y333" s="45"/>
      <c r="Z333" s="46"/>
      <c r="AA333" s="46"/>
    </row>
    <row r="334">
      <c r="Y334" s="45"/>
      <c r="Z334" s="46"/>
      <c r="AA334" s="46"/>
    </row>
    <row r="335">
      <c r="Y335" s="45"/>
      <c r="Z335" s="46"/>
      <c r="AA335" s="46"/>
    </row>
    <row r="336">
      <c r="Y336" s="45"/>
      <c r="Z336" s="46"/>
      <c r="AA336" s="46"/>
    </row>
    <row r="337">
      <c r="Y337" s="45"/>
      <c r="Z337" s="46"/>
      <c r="AA337" s="46"/>
    </row>
    <row r="338">
      <c r="Y338" s="45"/>
      <c r="Z338" s="46"/>
      <c r="AA338" s="46"/>
    </row>
    <row r="339">
      <c r="Y339" s="45"/>
      <c r="Z339" s="46"/>
      <c r="AA339" s="46"/>
    </row>
    <row r="340">
      <c r="Y340" s="45"/>
      <c r="Z340" s="46"/>
      <c r="AA340" s="46"/>
    </row>
    <row r="341">
      <c r="Y341" s="45"/>
      <c r="Z341" s="46"/>
      <c r="AA341" s="46"/>
    </row>
    <row r="342">
      <c r="Y342" s="45"/>
      <c r="Z342" s="46"/>
      <c r="AA342" s="46"/>
    </row>
    <row r="343">
      <c r="Y343" s="45"/>
      <c r="Z343" s="46"/>
      <c r="AA343" s="46"/>
    </row>
    <row r="344">
      <c r="Y344" s="45"/>
      <c r="Z344" s="46"/>
      <c r="AA344" s="46"/>
    </row>
    <row r="345">
      <c r="Y345" s="45"/>
      <c r="Z345" s="46"/>
      <c r="AA345" s="46"/>
    </row>
    <row r="346">
      <c r="Y346" s="45"/>
      <c r="Z346" s="46"/>
      <c r="AA346" s="46"/>
    </row>
    <row r="347">
      <c r="Y347" s="45"/>
      <c r="Z347" s="46"/>
      <c r="AA347" s="46"/>
    </row>
    <row r="348">
      <c r="Y348" s="45"/>
      <c r="Z348" s="46"/>
      <c r="AA348" s="46"/>
    </row>
    <row r="349">
      <c r="Y349" s="45"/>
      <c r="Z349" s="46"/>
      <c r="AA349" s="46"/>
    </row>
    <row r="350">
      <c r="Y350" s="45"/>
      <c r="Z350" s="46"/>
      <c r="AA350" s="46"/>
    </row>
    <row r="351">
      <c r="Y351" s="45"/>
      <c r="Z351" s="46"/>
      <c r="AA351" s="46"/>
    </row>
    <row r="352">
      <c r="Y352" s="45"/>
      <c r="Z352" s="46"/>
      <c r="AA352" s="46"/>
    </row>
    <row r="353">
      <c r="Y353" s="45"/>
      <c r="Z353" s="46"/>
      <c r="AA353" s="46"/>
    </row>
    <row r="354">
      <c r="Y354" s="45"/>
      <c r="Z354" s="46"/>
      <c r="AA354" s="46"/>
    </row>
    <row r="355">
      <c r="Y355" s="45"/>
      <c r="Z355" s="46"/>
      <c r="AA355" s="46"/>
    </row>
    <row r="356">
      <c r="Y356" s="45"/>
      <c r="Z356" s="46"/>
      <c r="AA356" s="46"/>
    </row>
    <row r="357">
      <c r="Y357" s="45"/>
      <c r="Z357" s="46"/>
      <c r="AA357" s="46"/>
    </row>
    <row r="358">
      <c r="Y358" s="45"/>
      <c r="Z358" s="46"/>
      <c r="AA358" s="46"/>
    </row>
    <row r="359">
      <c r="Y359" s="45"/>
      <c r="Z359" s="46"/>
      <c r="AA359" s="46"/>
    </row>
    <row r="360">
      <c r="Y360" s="45"/>
      <c r="Z360" s="46"/>
      <c r="AA360" s="46"/>
    </row>
    <row r="361">
      <c r="Y361" s="45"/>
      <c r="Z361" s="46"/>
      <c r="AA361" s="46"/>
    </row>
    <row r="362">
      <c r="Y362" s="45"/>
      <c r="Z362" s="46"/>
      <c r="AA362" s="46"/>
    </row>
    <row r="363">
      <c r="Y363" s="45"/>
      <c r="Z363" s="46"/>
      <c r="AA363" s="46"/>
    </row>
    <row r="364">
      <c r="Y364" s="45"/>
      <c r="Z364" s="46"/>
      <c r="AA364" s="46"/>
    </row>
    <row r="365">
      <c r="Y365" s="45"/>
      <c r="Z365" s="46"/>
      <c r="AA365" s="46"/>
    </row>
    <row r="366">
      <c r="Y366" s="45"/>
      <c r="Z366" s="46"/>
      <c r="AA366" s="46"/>
    </row>
    <row r="367">
      <c r="Y367" s="45"/>
      <c r="Z367" s="46"/>
      <c r="AA367" s="46"/>
    </row>
    <row r="368">
      <c r="Y368" s="45"/>
      <c r="Z368" s="46"/>
      <c r="AA368" s="46"/>
    </row>
    <row r="369">
      <c r="Y369" s="45"/>
      <c r="Z369" s="46"/>
      <c r="AA369" s="46"/>
    </row>
    <row r="370">
      <c r="Y370" s="45"/>
      <c r="Z370" s="46"/>
      <c r="AA370" s="46"/>
    </row>
    <row r="371">
      <c r="Y371" s="45"/>
      <c r="Z371" s="46"/>
      <c r="AA371" s="46"/>
    </row>
    <row r="372">
      <c r="Y372" s="45"/>
      <c r="Z372" s="46"/>
      <c r="AA372" s="46"/>
    </row>
    <row r="373">
      <c r="Y373" s="45"/>
      <c r="Z373" s="46"/>
      <c r="AA373" s="46"/>
    </row>
    <row r="374">
      <c r="Y374" s="45"/>
      <c r="Z374" s="46"/>
      <c r="AA374" s="46"/>
    </row>
    <row r="375">
      <c r="Y375" s="45"/>
      <c r="Z375" s="46"/>
      <c r="AA375" s="46"/>
    </row>
    <row r="376">
      <c r="Y376" s="45"/>
      <c r="Z376" s="46"/>
      <c r="AA376" s="46"/>
    </row>
    <row r="377">
      <c r="Y377" s="45"/>
      <c r="Z377" s="46"/>
      <c r="AA377" s="46"/>
    </row>
    <row r="378">
      <c r="Y378" s="45"/>
      <c r="Z378" s="46"/>
      <c r="AA378" s="46"/>
    </row>
    <row r="379">
      <c r="Y379" s="45"/>
      <c r="Z379" s="46"/>
      <c r="AA379" s="46"/>
    </row>
    <row r="380">
      <c r="Y380" s="45"/>
      <c r="Z380" s="46"/>
      <c r="AA380" s="46"/>
    </row>
    <row r="381">
      <c r="Y381" s="45"/>
      <c r="Z381" s="46"/>
      <c r="AA381" s="46"/>
    </row>
    <row r="382">
      <c r="Y382" s="45"/>
      <c r="Z382" s="46"/>
      <c r="AA382" s="46"/>
    </row>
    <row r="383">
      <c r="Y383" s="45"/>
      <c r="Z383" s="46"/>
      <c r="AA383" s="46"/>
    </row>
    <row r="384">
      <c r="Y384" s="45"/>
      <c r="Z384" s="46"/>
      <c r="AA384" s="46"/>
    </row>
    <row r="385">
      <c r="Y385" s="45"/>
      <c r="Z385" s="46"/>
      <c r="AA385" s="46"/>
    </row>
    <row r="386">
      <c r="Y386" s="45"/>
      <c r="Z386" s="46"/>
      <c r="AA386" s="46"/>
    </row>
    <row r="387">
      <c r="Y387" s="45"/>
      <c r="Z387" s="46"/>
      <c r="AA387" s="46"/>
    </row>
    <row r="388">
      <c r="Y388" s="45"/>
      <c r="Z388" s="46"/>
      <c r="AA388" s="46"/>
    </row>
    <row r="389">
      <c r="Y389" s="45"/>
      <c r="Z389" s="46"/>
      <c r="AA389" s="46"/>
    </row>
    <row r="390">
      <c r="Y390" s="45"/>
      <c r="Z390" s="46"/>
      <c r="AA390" s="46"/>
    </row>
    <row r="391">
      <c r="Y391" s="45"/>
      <c r="Z391" s="46"/>
      <c r="AA391" s="46"/>
    </row>
    <row r="392">
      <c r="Y392" s="45"/>
      <c r="Z392" s="46"/>
      <c r="AA392" s="46"/>
    </row>
    <row r="393">
      <c r="Y393" s="45"/>
      <c r="Z393" s="46"/>
      <c r="AA393" s="46"/>
    </row>
    <row r="394">
      <c r="Y394" s="45"/>
      <c r="Z394" s="46"/>
      <c r="AA394" s="46"/>
    </row>
    <row r="395">
      <c r="Y395" s="45"/>
      <c r="Z395" s="46"/>
      <c r="AA395" s="46"/>
    </row>
    <row r="396">
      <c r="Y396" s="45"/>
      <c r="Z396" s="46"/>
      <c r="AA396" s="46"/>
    </row>
    <row r="397">
      <c r="Y397" s="45"/>
      <c r="Z397" s="46"/>
      <c r="AA397" s="46"/>
    </row>
    <row r="398">
      <c r="Y398" s="45"/>
      <c r="Z398" s="46"/>
      <c r="AA398" s="46"/>
    </row>
    <row r="399">
      <c r="Y399" s="45"/>
      <c r="Z399" s="46"/>
      <c r="AA399" s="46"/>
    </row>
    <row r="400">
      <c r="Y400" s="45"/>
      <c r="Z400" s="46"/>
      <c r="AA400" s="46"/>
    </row>
    <row r="401">
      <c r="Y401" s="45"/>
      <c r="Z401" s="46"/>
      <c r="AA401" s="46"/>
    </row>
    <row r="402">
      <c r="Y402" s="45"/>
      <c r="Z402" s="46"/>
      <c r="AA402" s="46"/>
    </row>
    <row r="403">
      <c r="Y403" s="45"/>
      <c r="Z403" s="46"/>
      <c r="AA403" s="46"/>
    </row>
    <row r="404">
      <c r="Y404" s="45"/>
      <c r="Z404" s="46"/>
      <c r="AA404" s="46"/>
    </row>
    <row r="405">
      <c r="Y405" s="45"/>
      <c r="Z405" s="46"/>
      <c r="AA405" s="46"/>
    </row>
    <row r="406">
      <c r="Y406" s="45"/>
      <c r="Z406" s="46"/>
      <c r="AA406" s="46"/>
    </row>
    <row r="407">
      <c r="Y407" s="45"/>
      <c r="Z407" s="46"/>
      <c r="AA407" s="46"/>
    </row>
    <row r="408">
      <c r="Y408" s="45"/>
      <c r="Z408" s="46"/>
      <c r="AA408" s="46"/>
    </row>
    <row r="409">
      <c r="Y409" s="45"/>
      <c r="Z409" s="46"/>
      <c r="AA409" s="46"/>
    </row>
    <row r="410">
      <c r="Y410" s="45"/>
      <c r="Z410" s="46"/>
      <c r="AA410" s="46"/>
    </row>
    <row r="411">
      <c r="Y411" s="45"/>
      <c r="Z411" s="46"/>
      <c r="AA411" s="46"/>
    </row>
    <row r="412">
      <c r="Y412" s="45"/>
      <c r="Z412" s="46"/>
      <c r="AA412" s="46"/>
    </row>
    <row r="413">
      <c r="Y413" s="45"/>
      <c r="Z413" s="46"/>
      <c r="AA413" s="46"/>
    </row>
    <row r="414">
      <c r="Y414" s="45"/>
      <c r="Z414" s="46"/>
      <c r="AA414" s="46"/>
    </row>
    <row r="415">
      <c r="Y415" s="45"/>
      <c r="Z415" s="46"/>
      <c r="AA415" s="46"/>
    </row>
    <row r="416">
      <c r="Y416" s="45"/>
      <c r="Z416" s="46"/>
      <c r="AA416" s="46"/>
    </row>
    <row r="417">
      <c r="Y417" s="45"/>
      <c r="Z417" s="46"/>
      <c r="AA417" s="46"/>
    </row>
    <row r="418">
      <c r="Y418" s="45"/>
      <c r="Z418" s="46"/>
      <c r="AA418" s="46"/>
    </row>
    <row r="419">
      <c r="Y419" s="45"/>
      <c r="Z419" s="46"/>
      <c r="AA419" s="46"/>
    </row>
    <row r="420">
      <c r="Y420" s="45"/>
      <c r="Z420" s="46"/>
      <c r="AA420" s="46"/>
    </row>
    <row r="421">
      <c r="Y421" s="45"/>
      <c r="Z421" s="46"/>
      <c r="AA421" s="46"/>
    </row>
    <row r="422">
      <c r="Y422" s="45"/>
      <c r="Z422" s="46"/>
      <c r="AA422" s="46"/>
    </row>
    <row r="423">
      <c r="Y423" s="45"/>
      <c r="Z423" s="46"/>
      <c r="AA423" s="46"/>
    </row>
    <row r="424">
      <c r="Y424" s="45"/>
      <c r="Z424" s="46"/>
      <c r="AA424" s="46"/>
    </row>
    <row r="425">
      <c r="Y425" s="45"/>
      <c r="Z425" s="46"/>
      <c r="AA425" s="46"/>
    </row>
    <row r="426">
      <c r="Y426" s="45"/>
      <c r="Z426" s="46"/>
      <c r="AA426" s="46"/>
    </row>
    <row r="427">
      <c r="Y427" s="45"/>
      <c r="Z427" s="46"/>
      <c r="AA427" s="46"/>
    </row>
    <row r="428">
      <c r="Y428" s="45"/>
      <c r="Z428" s="46"/>
      <c r="AA428" s="46"/>
    </row>
    <row r="429">
      <c r="Y429" s="45"/>
      <c r="Z429" s="46"/>
      <c r="AA429" s="46"/>
    </row>
    <row r="430">
      <c r="Y430" s="45"/>
      <c r="Z430" s="46"/>
      <c r="AA430" s="46"/>
    </row>
    <row r="431">
      <c r="Y431" s="45"/>
      <c r="Z431" s="46"/>
      <c r="AA431" s="46"/>
    </row>
    <row r="432">
      <c r="Y432" s="45"/>
      <c r="Z432" s="46"/>
      <c r="AA432" s="46"/>
    </row>
    <row r="433">
      <c r="Y433" s="45"/>
      <c r="Z433" s="46"/>
      <c r="AA433" s="46"/>
    </row>
    <row r="434">
      <c r="Y434" s="45"/>
      <c r="Z434" s="46"/>
      <c r="AA434" s="46"/>
    </row>
    <row r="435">
      <c r="Y435" s="45"/>
      <c r="Z435" s="46"/>
      <c r="AA435" s="46"/>
    </row>
    <row r="436">
      <c r="Y436" s="45"/>
      <c r="Z436" s="46"/>
      <c r="AA436" s="46"/>
    </row>
    <row r="437">
      <c r="Y437" s="45"/>
      <c r="Z437" s="46"/>
      <c r="AA437" s="46"/>
    </row>
    <row r="438">
      <c r="Y438" s="45"/>
      <c r="Z438" s="46"/>
      <c r="AA438" s="46"/>
    </row>
    <row r="439">
      <c r="Y439" s="45"/>
      <c r="Z439" s="46"/>
      <c r="AA439" s="46"/>
    </row>
    <row r="440">
      <c r="Y440" s="45"/>
      <c r="Z440" s="46"/>
      <c r="AA440" s="46"/>
    </row>
    <row r="441">
      <c r="Y441" s="45"/>
      <c r="Z441" s="46"/>
      <c r="AA441" s="46"/>
    </row>
    <row r="442">
      <c r="Y442" s="45"/>
      <c r="Z442" s="46"/>
      <c r="AA442" s="46"/>
    </row>
    <row r="443">
      <c r="Y443" s="45"/>
      <c r="Z443" s="46"/>
      <c r="AA443" s="46"/>
    </row>
    <row r="444">
      <c r="Y444" s="45"/>
      <c r="Z444" s="46"/>
      <c r="AA444" s="46"/>
    </row>
    <row r="445">
      <c r="Y445" s="45"/>
      <c r="Z445" s="46"/>
      <c r="AA445" s="46"/>
    </row>
    <row r="446">
      <c r="Y446" s="45"/>
      <c r="Z446" s="46"/>
      <c r="AA446" s="46"/>
    </row>
    <row r="447">
      <c r="Y447" s="45"/>
      <c r="Z447" s="46"/>
      <c r="AA447" s="46"/>
    </row>
    <row r="448">
      <c r="Y448" s="45"/>
      <c r="Z448" s="46"/>
      <c r="AA448" s="46"/>
    </row>
    <row r="449">
      <c r="Y449" s="45"/>
      <c r="Z449" s="46"/>
      <c r="AA449" s="46"/>
    </row>
    <row r="450">
      <c r="Y450" s="45"/>
      <c r="Z450" s="46"/>
      <c r="AA450" s="46"/>
    </row>
    <row r="451">
      <c r="Y451" s="45"/>
      <c r="Z451" s="46"/>
      <c r="AA451" s="46"/>
    </row>
    <row r="452">
      <c r="Y452" s="45"/>
      <c r="Z452" s="46"/>
      <c r="AA452" s="46"/>
    </row>
    <row r="453">
      <c r="Y453" s="45"/>
      <c r="Z453" s="46"/>
      <c r="AA453" s="46"/>
    </row>
    <row r="454">
      <c r="Y454" s="45"/>
      <c r="Z454" s="46"/>
      <c r="AA454" s="46"/>
    </row>
    <row r="455">
      <c r="Y455" s="45"/>
      <c r="Z455" s="46"/>
      <c r="AA455" s="46"/>
    </row>
    <row r="456">
      <c r="Y456" s="45"/>
      <c r="Z456" s="46"/>
      <c r="AA456" s="46"/>
    </row>
    <row r="457">
      <c r="Y457" s="45"/>
      <c r="Z457" s="46"/>
      <c r="AA457" s="46"/>
    </row>
    <row r="458">
      <c r="Y458" s="45"/>
      <c r="Z458" s="46"/>
      <c r="AA458" s="46"/>
    </row>
    <row r="459">
      <c r="Y459" s="45"/>
      <c r="Z459" s="46"/>
      <c r="AA459" s="46"/>
    </row>
    <row r="460">
      <c r="Y460" s="45"/>
      <c r="Z460" s="46"/>
      <c r="AA460" s="46"/>
    </row>
    <row r="461">
      <c r="Y461" s="45"/>
      <c r="Z461" s="46"/>
      <c r="AA461" s="46"/>
    </row>
    <row r="462">
      <c r="Y462" s="45"/>
      <c r="Z462" s="46"/>
      <c r="AA462" s="46"/>
    </row>
    <row r="463">
      <c r="Y463" s="45"/>
      <c r="Z463" s="46"/>
      <c r="AA463" s="46"/>
    </row>
    <row r="464">
      <c r="Y464" s="45"/>
      <c r="Z464" s="46"/>
      <c r="AA464" s="46"/>
    </row>
    <row r="465">
      <c r="Y465" s="45"/>
      <c r="Z465" s="46"/>
      <c r="AA465" s="46"/>
    </row>
    <row r="466">
      <c r="Y466" s="45"/>
      <c r="Z466" s="46"/>
      <c r="AA466" s="46"/>
    </row>
    <row r="467">
      <c r="Y467" s="45"/>
      <c r="Z467" s="46"/>
      <c r="AA467" s="46"/>
    </row>
    <row r="468">
      <c r="Y468" s="45"/>
      <c r="Z468" s="46"/>
      <c r="AA468" s="46"/>
    </row>
    <row r="469">
      <c r="Y469" s="45"/>
      <c r="Z469" s="46"/>
      <c r="AA469" s="46"/>
    </row>
    <row r="470">
      <c r="Y470" s="45"/>
      <c r="Z470" s="46"/>
      <c r="AA470" s="46"/>
    </row>
    <row r="471">
      <c r="Y471" s="45"/>
      <c r="Z471" s="46"/>
      <c r="AA471" s="46"/>
    </row>
    <row r="472">
      <c r="Y472" s="45"/>
      <c r="Z472" s="46"/>
      <c r="AA472" s="46"/>
    </row>
    <row r="473">
      <c r="Y473" s="45"/>
      <c r="Z473" s="46"/>
      <c r="AA473" s="46"/>
    </row>
    <row r="474">
      <c r="Y474" s="45"/>
      <c r="Z474" s="46"/>
      <c r="AA474" s="46"/>
    </row>
    <row r="475">
      <c r="Y475" s="45"/>
      <c r="Z475" s="46"/>
      <c r="AA475" s="46"/>
    </row>
    <row r="476">
      <c r="Y476" s="45"/>
      <c r="Z476" s="46"/>
      <c r="AA476" s="46"/>
    </row>
    <row r="477">
      <c r="Y477" s="45"/>
      <c r="Z477" s="46"/>
      <c r="AA477" s="46"/>
    </row>
    <row r="478">
      <c r="Y478" s="45"/>
      <c r="Z478" s="46"/>
      <c r="AA478" s="46"/>
    </row>
    <row r="479">
      <c r="Y479" s="45"/>
      <c r="Z479" s="46"/>
      <c r="AA479" s="46"/>
    </row>
    <row r="480">
      <c r="Y480" s="45"/>
      <c r="Z480" s="46"/>
      <c r="AA480" s="46"/>
    </row>
    <row r="481">
      <c r="Y481" s="45"/>
      <c r="Z481" s="46"/>
      <c r="AA481" s="46"/>
    </row>
    <row r="482">
      <c r="Y482" s="45"/>
      <c r="Z482" s="46"/>
      <c r="AA482" s="46"/>
    </row>
    <row r="483">
      <c r="Y483" s="45"/>
      <c r="Z483" s="46"/>
      <c r="AA483" s="46"/>
    </row>
    <row r="484">
      <c r="Y484" s="45"/>
      <c r="Z484" s="46"/>
      <c r="AA484" s="46"/>
    </row>
    <row r="485">
      <c r="Y485" s="45"/>
      <c r="Z485" s="46"/>
      <c r="AA485" s="46"/>
    </row>
    <row r="486">
      <c r="Y486" s="45"/>
      <c r="Z486" s="46"/>
      <c r="AA486" s="46"/>
    </row>
    <row r="487">
      <c r="Y487" s="45"/>
      <c r="Z487" s="46"/>
      <c r="AA487" s="46"/>
    </row>
    <row r="488">
      <c r="Y488" s="45"/>
      <c r="Z488" s="46"/>
      <c r="AA488" s="46"/>
    </row>
    <row r="489">
      <c r="Y489" s="45"/>
      <c r="Z489" s="46"/>
      <c r="AA489" s="46"/>
    </row>
    <row r="490">
      <c r="Y490" s="45"/>
      <c r="Z490" s="46"/>
      <c r="AA490" s="46"/>
    </row>
    <row r="491">
      <c r="Y491" s="45"/>
      <c r="Z491" s="46"/>
      <c r="AA491" s="46"/>
    </row>
    <row r="492">
      <c r="Y492" s="45"/>
      <c r="Z492" s="46"/>
      <c r="AA492" s="46"/>
    </row>
    <row r="493">
      <c r="Y493" s="45"/>
      <c r="Z493" s="46"/>
      <c r="AA493" s="46"/>
    </row>
    <row r="494">
      <c r="Y494" s="45"/>
      <c r="Z494" s="46"/>
      <c r="AA494" s="46"/>
    </row>
    <row r="495">
      <c r="Y495" s="45"/>
      <c r="Z495" s="46"/>
      <c r="AA495" s="46"/>
    </row>
    <row r="496">
      <c r="Y496" s="45"/>
      <c r="Z496" s="46"/>
      <c r="AA496" s="46"/>
    </row>
    <row r="497">
      <c r="Y497" s="45"/>
      <c r="Z497" s="46"/>
      <c r="AA497" s="46"/>
    </row>
    <row r="498">
      <c r="Y498" s="45"/>
      <c r="Z498" s="46"/>
      <c r="AA498" s="46"/>
    </row>
    <row r="499">
      <c r="Y499" s="45"/>
      <c r="Z499" s="46"/>
      <c r="AA499" s="46"/>
    </row>
    <row r="500">
      <c r="Y500" s="45"/>
      <c r="Z500" s="46"/>
      <c r="AA500" s="46"/>
    </row>
    <row r="501">
      <c r="Y501" s="45"/>
      <c r="Z501" s="46"/>
      <c r="AA501" s="46"/>
    </row>
    <row r="502">
      <c r="Y502" s="45"/>
      <c r="Z502" s="46"/>
      <c r="AA502" s="46"/>
    </row>
    <row r="503">
      <c r="Y503" s="45"/>
      <c r="Z503" s="46"/>
      <c r="AA503" s="46"/>
    </row>
    <row r="504">
      <c r="Y504" s="45"/>
      <c r="Z504" s="46"/>
      <c r="AA504" s="46"/>
    </row>
    <row r="505">
      <c r="Y505" s="45"/>
      <c r="Z505" s="46"/>
      <c r="AA505" s="46"/>
    </row>
    <row r="506">
      <c r="Y506" s="45"/>
      <c r="Z506" s="46"/>
      <c r="AA506" s="46"/>
    </row>
    <row r="507">
      <c r="Y507" s="45"/>
      <c r="Z507" s="46"/>
      <c r="AA507" s="46"/>
    </row>
    <row r="508">
      <c r="Y508" s="45"/>
      <c r="Z508" s="46"/>
      <c r="AA508" s="46"/>
    </row>
    <row r="509">
      <c r="Y509" s="45"/>
      <c r="Z509" s="46"/>
      <c r="AA509" s="46"/>
    </row>
    <row r="510">
      <c r="Y510" s="45"/>
      <c r="Z510" s="46"/>
      <c r="AA510" s="46"/>
    </row>
    <row r="511">
      <c r="Y511" s="45"/>
      <c r="Z511" s="46"/>
      <c r="AA511" s="46"/>
    </row>
    <row r="512">
      <c r="Y512" s="45"/>
      <c r="Z512" s="46"/>
      <c r="AA512" s="46"/>
    </row>
    <row r="513">
      <c r="Y513" s="45"/>
      <c r="Z513" s="46"/>
      <c r="AA513" s="46"/>
    </row>
    <row r="514">
      <c r="Y514" s="45"/>
      <c r="Z514" s="46"/>
      <c r="AA514" s="46"/>
    </row>
    <row r="515">
      <c r="Y515" s="45"/>
      <c r="Z515" s="46"/>
      <c r="AA515" s="46"/>
    </row>
    <row r="516">
      <c r="Y516" s="45"/>
      <c r="Z516" s="46"/>
      <c r="AA516" s="46"/>
    </row>
    <row r="517">
      <c r="Y517" s="45"/>
      <c r="Z517" s="46"/>
      <c r="AA517" s="46"/>
    </row>
    <row r="518">
      <c r="Y518" s="45"/>
      <c r="Z518" s="46"/>
      <c r="AA518" s="46"/>
    </row>
    <row r="519">
      <c r="Y519" s="45"/>
      <c r="Z519" s="46"/>
      <c r="AA519" s="46"/>
    </row>
    <row r="520">
      <c r="Y520" s="45"/>
      <c r="Z520" s="46"/>
      <c r="AA520" s="46"/>
    </row>
    <row r="521">
      <c r="Y521" s="45"/>
      <c r="Z521" s="46"/>
      <c r="AA521" s="46"/>
    </row>
    <row r="522">
      <c r="Y522" s="45"/>
      <c r="Z522" s="46"/>
      <c r="AA522" s="46"/>
    </row>
    <row r="523">
      <c r="Y523" s="45"/>
      <c r="Z523" s="46"/>
      <c r="AA523" s="46"/>
    </row>
    <row r="524">
      <c r="Y524" s="45"/>
      <c r="Z524" s="46"/>
      <c r="AA524" s="46"/>
    </row>
    <row r="525">
      <c r="Y525" s="45"/>
      <c r="Z525" s="46"/>
      <c r="AA525" s="46"/>
    </row>
    <row r="526">
      <c r="Y526" s="45"/>
      <c r="Z526" s="46"/>
      <c r="AA526" s="46"/>
    </row>
    <row r="527">
      <c r="Y527" s="45"/>
      <c r="Z527" s="46"/>
      <c r="AA527" s="46"/>
    </row>
    <row r="528">
      <c r="Y528" s="45"/>
      <c r="Z528" s="46"/>
      <c r="AA528" s="46"/>
    </row>
    <row r="529">
      <c r="Y529" s="45"/>
      <c r="Z529" s="46"/>
      <c r="AA529" s="46"/>
    </row>
    <row r="530">
      <c r="Y530" s="45"/>
      <c r="Z530" s="46"/>
      <c r="AA530" s="46"/>
    </row>
    <row r="531">
      <c r="Y531" s="45"/>
      <c r="Z531" s="46"/>
      <c r="AA531" s="46"/>
    </row>
    <row r="532">
      <c r="Y532" s="45"/>
      <c r="Z532" s="46"/>
      <c r="AA532" s="46"/>
    </row>
    <row r="533">
      <c r="Y533" s="45"/>
      <c r="Z533" s="46"/>
      <c r="AA533" s="46"/>
    </row>
    <row r="534">
      <c r="Y534" s="45"/>
      <c r="Z534" s="46"/>
      <c r="AA534" s="46"/>
    </row>
    <row r="535">
      <c r="Y535" s="45"/>
      <c r="Z535" s="46"/>
      <c r="AA535" s="46"/>
    </row>
    <row r="536">
      <c r="Y536" s="45"/>
      <c r="Z536" s="46"/>
      <c r="AA536" s="46"/>
    </row>
    <row r="537">
      <c r="Y537" s="45"/>
      <c r="Z537" s="46"/>
      <c r="AA537" s="46"/>
    </row>
    <row r="538">
      <c r="Y538" s="45"/>
      <c r="Z538" s="46"/>
      <c r="AA538" s="46"/>
    </row>
    <row r="539">
      <c r="Y539" s="45"/>
      <c r="Z539" s="46"/>
      <c r="AA539" s="46"/>
    </row>
    <row r="540">
      <c r="Y540" s="45"/>
      <c r="Z540" s="46"/>
      <c r="AA540" s="46"/>
    </row>
    <row r="541">
      <c r="Y541" s="45"/>
      <c r="Z541" s="46"/>
      <c r="AA541" s="46"/>
    </row>
    <row r="542">
      <c r="Y542" s="45"/>
      <c r="Z542" s="46"/>
      <c r="AA542" s="46"/>
    </row>
    <row r="543">
      <c r="Y543" s="45"/>
      <c r="Z543" s="46"/>
      <c r="AA543" s="46"/>
    </row>
    <row r="544">
      <c r="Y544" s="45"/>
      <c r="Z544" s="46"/>
      <c r="AA544" s="46"/>
    </row>
    <row r="545">
      <c r="Y545" s="45"/>
      <c r="Z545" s="46"/>
      <c r="AA545" s="46"/>
    </row>
    <row r="546">
      <c r="Y546" s="45"/>
      <c r="Z546" s="46"/>
      <c r="AA546" s="46"/>
    </row>
    <row r="547">
      <c r="Y547" s="45"/>
      <c r="Z547" s="46"/>
      <c r="AA547" s="46"/>
    </row>
    <row r="548">
      <c r="Y548" s="45"/>
      <c r="Z548" s="46"/>
      <c r="AA548" s="46"/>
    </row>
    <row r="549">
      <c r="Y549" s="45"/>
      <c r="Z549" s="46"/>
      <c r="AA549" s="46"/>
    </row>
    <row r="550">
      <c r="Y550" s="45"/>
      <c r="Z550" s="46"/>
      <c r="AA550" s="46"/>
    </row>
    <row r="551">
      <c r="Y551" s="45"/>
      <c r="Z551" s="46"/>
      <c r="AA551" s="46"/>
    </row>
    <row r="552">
      <c r="Y552" s="45"/>
      <c r="Z552" s="46"/>
      <c r="AA552" s="46"/>
    </row>
    <row r="553">
      <c r="Y553" s="45"/>
      <c r="Z553" s="46"/>
      <c r="AA553" s="46"/>
    </row>
    <row r="554">
      <c r="Y554" s="45"/>
      <c r="Z554" s="46"/>
      <c r="AA554" s="46"/>
    </row>
    <row r="555">
      <c r="Y555" s="45"/>
      <c r="Z555" s="46"/>
      <c r="AA555" s="46"/>
    </row>
    <row r="556">
      <c r="Y556" s="45"/>
      <c r="Z556" s="46"/>
      <c r="AA556" s="46"/>
    </row>
    <row r="557">
      <c r="Y557" s="45"/>
      <c r="Z557" s="46"/>
      <c r="AA557" s="46"/>
    </row>
    <row r="558">
      <c r="Y558" s="45"/>
      <c r="Z558" s="46"/>
      <c r="AA558" s="46"/>
    </row>
    <row r="559">
      <c r="Y559" s="45"/>
      <c r="Z559" s="46"/>
      <c r="AA559" s="46"/>
    </row>
    <row r="560">
      <c r="Y560" s="45"/>
      <c r="Z560" s="46"/>
      <c r="AA560" s="46"/>
    </row>
    <row r="561">
      <c r="Y561" s="45"/>
      <c r="Z561" s="46"/>
      <c r="AA561" s="46"/>
    </row>
    <row r="562">
      <c r="Y562" s="45"/>
      <c r="Z562" s="46"/>
      <c r="AA562" s="46"/>
    </row>
    <row r="563">
      <c r="Y563" s="45"/>
      <c r="Z563" s="46"/>
      <c r="AA563" s="46"/>
    </row>
    <row r="564">
      <c r="Y564" s="45"/>
      <c r="Z564" s="46"/>
      <c r="AA564" s="46"/>
    </row>
    <row r="565">
      <c r="Y565" s="45"/>
      <c r="Z565" s="46"/>
      <c r="AA565" s="46"/>
    </row>
    <row r="566">
      <c r="Y566" s="45"/>
      <c r="Z566" s="46"/>
      <c r="AA566" s="46"/>
    </row>
    <row r="567">
      <c r="Y567" s="45"/>
      <c r="Z567" s="46"/>
      <c r="AA567" s="46"/>
    </row>
    <row r="568">
      <c r="Y568" s="45"/>
      <c r="Z568" s="46"/>
      <c r="AA568" s="46"/>
    </row>
    <row r="569">
      <c r="Y569" s="45"/>
      <c r="Z569" s="46"/>
      <c r="AA569" s="46"/>
    </row>
    <row r="570">
      <c r="Y570" s="45"/>
      <c r="Z570" s="46"/>
      <c r="AA570" s="46"/>
    </row>
    <row r="571">
      <c r="Y571" s="45"/>
      <c r="Z571" s="46"/>
      <c r="AA571" s="46"/>
    </row>
    <row r="572">
      <c r="Y572" s="45"/>
      <c r="Z572" s="46"/>
      <c r="AA572" s="46"/>
    </row>
    <row r="573">
      <c r="Y573" s="45"/>
      <c r="Z573" s="46"/>
      <c r="AA573" s="46"/>
    </row>
    <row r="574">
      <c r="Y574" s="45"/>
      <c r="Z574" s="46"/>
      <c r="AA574" s="46"/>
    </row>
    <row r="575">
      <c r="Y575" s="45"/>
      <c r="Z575" s="46"/>
      <c r="AA575" s="46"/>
    </row>
    <row r="576">
      <c r="Y576" s="45"/>
      <c r="Z576" s="46"/>
      <c r="AA576" s="46"/>
    </row>
    <row r="577">
      <c r="Y577" s="45"/>
      <c r="Z577" s="46"/>
      <c r="AA577" s="46"/>
    </row>
    <row r="578">
      <c r="Y578" s="45"/>
      <c r="Z578" s="46"/>
      <c r="AA578" s="46"/>
    </row>
    <row r="579">
      <c r="Y579" s="45"/>
      <c r="Z579" s="46"/>
      <c r="AA579" s="46"/>
    </row>
    <row r="580">
      <c r="Y580" s="45"/>
      <c r="Z580" s="46"/>
      <c r="AA580" s="46"/>
    </row>
    <row r="581">
      <c r="Y581" s="45"/>
      <c r="Z581" s="46"/>
      <c r="AA581" s="46"/>
    </row>
    <row r="582">
      <c r="Y582" s="45"/>
      <c r="Z582" s="46"/>
      <c r="AA582" s="46"/>
    </row>
    <row r="583">
      <c r="Y583" s="45"/>
      <c r="Z583" s="46"/>
      <c r="AA583" s="46"/>
    </row>
    <row r="584">
      <c r="Y584" s="45"/>
      <c r="Z584" s="46"/>
      <c r="AA584" s="46"/>
    </row>
    <row r="585">
      <c r="Y585" s="45"/>
      <c r="Z585" s="46"/>
      <c r="AA585" s="46"/>
    </row>
    <row r="586">
      <c r="Y586" s="45"/>
      <c r="Z586" s="46"/>
      <c r="AA586" s="46"/>
    </row>
    <row r="587">
      <c r="Y587" s="45"/>
      <c r="Z587" s="46"/>
      <c r="AA587" s="46"/>
    </row>
    <row r="588">
      <c r="Y588" s="45"/>
      <c r="Z588" s="46"/>
      <c r="AA588" s="46"/>
    </row>
    <row r="589">
      <c r="Y589" s="45"/>
      <c r="Z589" s="46"/>
      <c r="AA589" s="46"/>
    </row>
    <row r="590">
      <c r="Y590" s="45"/>
      <c r="Z590" s="46"/>
      <c r="AA590" s="46"/>
    </row>
    <row r="591">
      <c r="Y591" s="45"/>
      <c r="Z591" s="46"/>
      <c r="AA591" s="46"/>
    </row>
    <row r="592">
      <c r="Y592" s="45"/>
      <c r="Z592" s="46"/>
      <c r="AA592" s="46"/>
    </row>
    <row r="593">
      <c r="Y593" s="45"/>
      <c r="Z593" s="46"/>
      <c r="AA593" s="46"/>
    </row>
    <row r="594">
      <c r="Y594" s="45"/>
      <c r="Z594" s="46"/>
      <c r="AA594" s="46"/>
    </row>
    <row r="595">
      <c r="Y595" s="45"/>
      <c r="Z595" s="46"/>
      <c r="AA595" s="46"/>
    </row>
    <row r="596">
      <c r="Y596" s="45"/>
      <c r="Z596" s="46"/>
      <c r="AA596" s="46"/>
    </row>
    <row r="597">
      <c r="Y597" s="45"/>
      <c r="Z597" s="46"/>
      <c r="AA597" s="46"/>
    </row>
    <row r="598">
      <c r="Y598" s="45"/>
      <c r="Z598" s="46"/>
      <c r="AA598" s="46"/>
    </row>
    <row r="599">
      <c r="Y599" s="45"/>
      <c r="Z599" s="46"/>
      <c r="AA599" s="46"/>
    </row>
    <row r="600">
      <c r="Y600" s="45"/>
      <c r="Z600" s="46"/>
      <c r="AA600" s="46"/>
    </row>
    <row r="601">
      <c r="Y601" s="45"/>
      <c r="Z601" s="46"/>
      <c r="AA601" s="46"/>
    </row>
    <row r="602">
      <c r="Y602" s="45"/>
      <c r="Z602" s="46"/>
      <c r="AA602" s="46"/>
    </row>
    <row r="603">
      <c r="Y603" s="45"/>
      <c r="Z603" s="46"/>
      <c r="AA603" s="46"/>
    </row>
    <row r="604">
      <c r="Y604" s="45"/>
      <c r="Z604" s="46"/>
      <c r="AA604" s="46"/>
    </row>
    <row r="605">
      <c r="Y605" s="45"/>
      <c r="Z605" s="46"/>
      <c r="AA605" s="46"/>
    </row>
    <row r="606">
      <c r="Y606" s="45"/>
      <c r="Z606" s="46"/>
      <c r="AA606" s="46"/>
    </row>
    <row r="607">
      <c r="Y607" s="45"/>
      <c r="Z607" s="46"/>
      <c r="AA607" s="46"/>
    </row>
    <row r="608">
      <c r="Y608" s="45"/>
      <c r="Z608" s="46"/>
      <c r="AA608" s="46"/>
    </row>
    <row r="609">
      <c r="Y609" s="45"/>
      <c r="Z609" s="46"/>
      <c r="AA609" s="46"/>
    </row>
    <row r="610">
      <c r="Y610" s="45"/>
      <c r="Z610" s="46"/>
      <c r="AA610" s="46"/>
    </row>
    <row r="611">
      <c r="Y611" s="45"/>
      <c r="Z611" s="46"/>
      <c r="AA611" s="46"/>
    </row>
    <row r="612">
      <c r="Y612" s="45"/>
      <c r="Z612" s="46"/>
      <c r="AA612" s="46"/>
    </row>
    <row r="613">
      <c r="Y613" s="45"/>
      <c r="Z613" s="46"/>
      <c r="AA613" s="46"/>
    </row>
    <row r="614">
      <c r="Y614" s="45"/>
      <c r="Z614" s="46"/>
      <c r="AA614" s="46"/>
    </row>
    <row r="615">
      <c r="Y615" s="45"/>
      <c r="Z615" s="46"/>
      <c r="AA615" s="46"/>
    </row>
    <row r="616">
      <c r="Y616" s="45"/>
      <c r="Z616" s="46"/>
      <c r="AA616" s="46"/>
    </row>
    <row r="617">
      <c r="Y617" s="45"/>
      <c r="Z617" s="46"/>
      <c r="AA617" s="46"/>
    </row>
    <row r="618">
      <c r="Y618" s="45"/>
      <c r="Z618" s="46"/>
      <c r="AA618" s="46"/>
    </row>
    <row r="619">
      <c r="Y619" s="45"/>
      <c r="Z619" s="46"/>
      <c r="AA619" s="46"/>
    </row>
    <row r="620">
      <c r="Y620" s="45"/>
      <c r="Z620" s="46"/>
      <c r="AA620" s="46"/>
    </row>
    <row r="621">
      <c r="Y621" s="45"/>
      <c r="Z621" s="46"/>
      <c r="AA621" s="46"/>
    </row>
    <row r="622">
      <c r="Y622" s="45"/>
      <c r="Z622" s="46"/>
      <c r="AA622" s="46"/>
    </row>
    <row r="623">
      <c r="Y623" s="45"/>
      <c r="Z623" s="46"/>
      <c r="AA623" s="46"/>
    </row>
    <row r="624">
      <c r="Y624" s="45"/>
      <c r="Z624" s="46"/>
      <c r="AA624" s="46"/>
    </row>
    <row r="625">
      <c r="Y625" s="45"/>
      <c r="Z625" s="46"/>
      <c r="AA625" s="46"/>
    </row>
    <row r="626">
      <c r="Y626" s="45"/>
      <c r="Z626" s="46"/>
      <c r="AA626" s="46"/>
    </row>
    <row r="627">
      <c r="Y627" s="45"/>
      <c r="Z627" s="46"/>
      <c r="AA627" s="46"/>
    </row>
    <row r="628">
      <c r="Y628" s="45"/>
      <c r="Z628" s="46"/>
      <c r="AA628" s="46"/>
    </row>
    <row r="629">
      <c r="Y629" s="45"/>
      <c r="Z629" s="46"/>
      <c r="AA629" s="46"/>
    </row>
    <row r="630">
      <c r="Y630" s="45"/>
      <c r="Z630" s="46"/>
      <c r="AA630" s="46"/>
    </row>
    <row r="631">
      <c r="Y631" s="45"/>
      <c r="Z631" s="46"/>
      <c r="AA631" s="46"/>
    </row>
    <row r="632">
      <c r="Y632" s="45"/>
      <c r="Z632" s="46"/>
      <c r="AA632" s="46"/>
    </row>
    <row r="633">
      <c r="Y633" s="45"/>
      <c r="Z633" s="46"/>
      <c r="AA633" s="46"/>
    </row>
    <row r="634">
      <c r="Y634" s="45"/>
      <c r="Z634" s="46"/>
      <c r="AA634" s="46"/>
    </row>
    <row r="635">
      <c r="Y635" s="45"/>
      <c r="Z635" s="46"/>
      <c r="AA635" s="46"/>
    </row>
    <row r="636">
      <c r="Y636" s="45"/>
      <c r="Z636" s="46"/>
      <c r="AA636" s="46"/>
    </row>
    <row r="637">
      <c r="Y637" s="45"/>
      <c r="Z637" s="46"/>
      <c r="AA637" s="46"/>
    </row>
    <row r="638">
      <c r="Y638" s="45"/>
      <c r="Z638" s="46"/>
      <c r="AA638" s="46"/>
    </row>
    <row r="639">
      <c r="Y639" s="45"/>
      <c r="Z639" s="46"/>
      <c r="AA639" s="46"/>
    </row>
    <row r="640">
      <c r="Y640" s="45"/>
      <c r="Z640" s="46"/>
      <c r="AA640" s="46"/>
    </row>
    <row r="641">
      <c r="Y641" s="45"/>
      <c r="Z641" s="46"/>
      <c r="AA641" s="46"/>
    </row>
    <row r="642">
      <c r="Y642" s="45"/>
      <c r="Z642" s="46"/>
      <c r="AA642" s="46"/>
    </row>
    <row r="643">
      <c r="Y643" s="45"/>
      <c r="Z643" s="46"/>
      <c r="AA643" s="46"/>
    </row>
    <row r="644">
      <c r="Y644" s="45"/>
      <c r="Z644" s="46"/>
      <c r="AA644" s="46"/>
    </row>
    <row r="645">
      <c r="Y645" s="45"/>
      <c r="Z645" s="46"/>
      <c r="AA645" s="46"/>
    </row>
    <row r="646">
      <c r="Y646" s="45"/>
      <c r="Z646" s="46"/>
      <c r="AA646" s="46"/>
    </row>
    <row r="647">
      <c r="Y647" s="45"/>
      <c r="Z647" s="46"/>
      <c r="AA647" s="46"/>
    </row>
    <row r="648">
      <c r="Y648" s="45"/>
      <c r="Z648" s="46"/>
      <c r="AA648" s="46"/>
    </row>
    <row r="649">
      <c r="Y649" s="45"/>
      <c r="Z649" s="46"/>
      <c r="AA649" s="46"/>
    </row>
    <row r="650">
      <c r="Y650" s="45"/>
      <c r="Z650" s="46"/>
      <c r="AA650" s="46"/>
    </row>
    <row r="651">
      <c r="Y651" s="45"/>
      <c r="Z651" s="46"/>
      <c r="AA651" s="46"/>
    </row>
    <row r="652">
      <c r="Y652" s="45"/>
      <c r="Z652" s="46"/>
      <c r="AA652" s="46"/>
    </row>
    <row r="653">
      <c r="Y653" s="45"/>
      <c r="Z653" s="46"/>
      <c r="AA653" s="46"/>
    </row>
    <row r="654">
      <c r="Y654" s="45"/>
      <c r="Z654" s="46"/>
      <c r="AA654" s="46"/>
    </row>
    <row r="655">
      <c r="Y655" s="45"/>
      <c r="Z655" s="46"/>
      <c r="AA655" s="46"/>
    </row>
    <row r="656">
      <c r="Y656" s="45"/>
      <c r="Z656" s="46"/>
      <c r="AA656" s="46"/>
    </row>
    <row r="657">
      <c r="Y657" s="45"/>
      <c r="Z657" s="46"/>
      <c r="AA657" s="46"/>
    </row>
    <row r="658">
      <c r="Y658" s="45"/>
      <c r="Z658" s="46"/>
      <c r="AA658" s="46"/>
    </row>
    <row r="659">
      <c r="Y659" s="45"/>
      <c r="Z659" s="46"/>
      <c r="AA659" s="46"/>
    </row>
    <row r="660">
      <c r="Y660" s="45"/>
      <c r="Z660" s="46"/>
      <c r="AA660" s="46"/>
    </row>
    <row r="661">
      <c r="Y661" s="45"/>
      <c r="Z661" s="46"/>
      <c r="AA661" s="46"/>
    </row>
    <row r="662">
      <c r="Y662" s="45"/>
      <c r="Z662" s="46"/>
      <c r="AA662" s="46"/>
    </row>
    <row r="663">
      <c r="Y663" s="45"/>
      <c r="Z663" s="46"/>
      <c r="AA663" s="46"/>
    </row>
    <row r="664">
      <c r="Y664" s="45"/>
      <c r="Z664" s="46"/>
      <c r="AA664" s="46"/>
    </row>
    <row r="665">
      <c r="Y665" s="45"/>
      <c r="Z665" s="46"/>
      <c r="AA665" s="46"/>
    </row>
    <row r="666">
      <c r="Y666" s="45"/>
      <c r="Z666" s="46"/>
      <c r="AA666" s="46"/>
    </row>
    <row r="667">
      <c r="Y667" s="45"/>
      <c r="Z667" s="46"/>
      <c r="AA667" s="46"/>
    </row>
    <row r="668">
      <c r="Y668" s="45"/>
      <c r="Z668" s="46"/>
      <c r="AA668" s="46"/>
    </row>
    <row r="669">
      <c r="Y669" s="45"/>
      <c r="Z669" s="46"/>
      <c r="AA669" s="46"/>
    </row>
    <row r="670">
      <c r="Y670" s="45"/>
      <c r="Z670" s="46"/>
      <c r="AA670" s="46"/>
    </row>
    <row r="671">
      <c r="Y671" s="45"/>
      <c r="Z671" s="46"/>
      <c r="AA671" s="46"/>
    </row>
    <row r="672">
      <c r="Y672" s="45"/>
      <c r="Z672" s="46"/>
      <c r="AA672" s="46"/>
    </row>
    <row r="673">
      <c r="Y673" s="45"/>
      <c r="Z673" s="46"/>
      <c r="AA673" s="46"/>
    </row>
    <row r="674">
      <c r="Y674" s="45"/>
      <c r="Z674" s="46"/>
      <c r="AA674" s="46"/>
    </row>
    <row r="675">
      <c r="Y675" s="45"/>
      <c r="Z675" s="46"/>
      <c r="AA675" s="46"/>
    </row>
    <row r="676">
      <c r="Y676" s="45"/>
      <c r="Z676" s="46"/>
      <c r="AA676" s="46"/>
    </row>
    <row r="677">
      <c r="Y677" s="45"/>
      <c r="Z677" s="46"/>
      <c r="AA677" s="46"/>
    </row>
    <row r="678">
      <c r="Y678" s="45"/>
      <c r="Z678" s="46"/>
      <c r="AA678" s="46"/>
    </row>
    <row r="679">
      <c r="Y679" s="45"/>
      <c r="Z679" s="46"/>
      <c r="AA679" s="46"/>
    </row>
    <row r="680">
      <c r="Y680" s="45"/>
      <c r="Z680" s="46"/>
      <c r="AA680" s="46"/>
    </row>
    <row r="681">
      <c r="Y681" s="45"/>
      <c r="Z681" s="46"/>
      <c r="AA681" s="46"/>
    </row>
    <row r="682">
      <c r="Y682" s="45"/>
      <c r="Z682" s="46"/>
      <c r="AA682" s="46"/>
    </row>
    <row r="683">
      <c r="Y683" s="45"/>
      <c r="Z683" s="46"/>
      <c r="AA683" s="46"/>
    </row>
    <row r="684">
      <c r="Y684" s="45"/>
      <c r="Z684" s="46"/>
      <c r="AA684" s="46"/>
    </row>
    <row r="685">
      <c r="Y685" s="45"/>
      <c r="Z685" s="46"/>
      <c r="AA685" s="46"/>
    </row>
    <row r="686">
      <c r="Y686" s="45"/>
      <c r="Z686" s="46"/>
      <c r="AA686" s="46"/>
    </row>
    <row r="687">
      <c r="Y687" s="45"/>
      <c r="Z687" s="46"/>
      <c r="AA687" s="46"/>
    </row>
    <row r="688">
      <c r="Y688" s="45"/>
      <c r="Z688" s="46"/>
      <c r="AA688" s="46"/>
    </row>
    <row r="689">
      <c r="Y689" s="45"/>
      <c r="Z689" s="46"/>
      <c r="AA689" s="46"/>
    </row>
    <row r="690">
      <c r="Y690" s="45"/>
      <c r="Z690" s="46"/>
      <c r="AA690" s="46"/>
    </row>
    <row r="691">
      <c r="Y691" s="45"/>
      <c r="Z691" s="46"/>
      <c r="AA691" s="46"/>
    </row>
    <row r="692">
      <c r="Y692" s="45"/>
      <c r="Z692" s="46"/>
      <c r="AA692" s="46"/>
    </row>
    <row r="693">
      <c r="Y693" s="45"/>
      <c r="Z693" s="46"/>
      <c r="AA693" s="46"/>
    </row>
    <row r="694">
      <c r="Y694" s="45"/>
      <c r="Z694" s="46"/>
      <c r="AA694" s="46"/>
    </row>
    <row r="695">
      <c r="Y695" s="45"/>
      <c r="Z695" s="46"/>
      <c r="AA695" s="46"/>
    </row>
    <row r="696">
      <c r="Y696" s="45"/>
      <c r="Z696" s="46"/>
      <c r="AA696" s="46"/>
    </row>
    <row r="697">
      <c r="Y697" s="45"/>
      <c r="Z697" s="46"/>
      <c r="AA697" s="46"/>
    </row>
    <row r="698">
      <c r="Y698" s="45"/>
      <c r="Z698" s="46"/>
      <c r="AA698" s="46"/>
    </row>
    <row r="699">
      <c r="Y699" s="45"/>
      <c r="Z699" s="46"/>
      <c r="AA699" s="46"/>
    </row>
    <row r="700">
      <c r="Y700" s="45"/>
      <c r="Z700" s="46"/>
      <c r="AA700" s="46"/>
    </row>
    <row r="701">
      <c r="Y701" s="45"/>
      <c r="Z701" s="46"/>
      <c r="AA701" s="46"/>
    </row>
    <row r="702">
      <c r="Y702" s="45"/>
      <c r="Z702" s="46"/>
      <c r="AA702" s="46"/>
    </row>
    <row r="703">
      <c r="Y703" s="45"/>
      <c r="Z703" s="46"/>
      <c r="AA703" s="46"/>
    </row>
    <row r="704">
      <c r="Y704" s="45"/>
      <c r="Z704" s="46"/>
      <c r="AA704" s="46"/>
    </row>
    <row r="705">
      <c r="Y705" s="45"/>
      <c r="Z705" s="46"/>
      <c r="AA705" s="46"/>
    </row>
    <row r="706">
      <c r="Y706" s="45"/>
      <c r="Z706" s="46"/>
      <c r="AA706" s="46"/>
    </row>
    <row r="707">
      <c r="Y707" s="45"/>
      <c r="Z707" s="46"/>
      <c r="AA707" s="46"/>
    </row>
    <row r="708">
      <c r="Y708" s="45"/>
      <c r="Z708" s="46"/>
      <c r="AA708" s="46"/>
    </row>
    <row r="709">
      <c r="Y709" s="45"/>
      <c r="Z709" s="46"/>
      <c r="AA709" s="46"/>
    </row>
    <row r="710">
      <c r="Y710" s="45"/>
      <c r="Z710" s="46"/>
      <c r="AA710" s="46"/>
    </row>
    <row r="711">
      <c r="Y711" s="45"/>
      <c r="Z711" s="46"/>
      <c r="AA711" s="46"/>
    </row>
    <row r="712">
      <c r="Y712" s="45"/>
      <c r="Z712" s="46"/>
      <c r="AA712" s="46"/>
    </row>
    <row r="713">
      <c r="Y713" s="45"/>
      <c r="Z713" s="46"/>
      <c r="AA713" s="46"/>
    </row>
    <row r="714">
      <c r="Y714" s="45"/>
      <c r="Z714" s="46"/>
      <c r="AA714" s="46"/>
    </row>
    <row r="715">
      <c r="Y715" s="45"/>
      <c r="Z715" s="46"/>
      <c r="AA715" s="46"/>
    </row>
    <row r="716">
      <c r="Y716" s="45"/>
      <c r="Z716" s="46"/>
      <c r="AA716" s="46"/>
    </row>
    <row r="717">
      <c r="Y717" s="45"/>
      <c r="Z717" s="46"/>
      <c r="AA717" s="46"/>
    </row>
    <row r="718">
      <c r="Y718" s="45"/>
      <c r="Z718" s="46"/>
      <c r="AA718" s="46"/>
    </row>
    <row r="719">
      <c r="Y719" s="45"/>
      <c r="Z719" s="46"/>
      <c r="AA719" s="46"/>
    </row>
    <row r="720">
      <c r="Y720" s="45"/>
      <c r="Z720" s="46"/>
      <c r="AA720" s="46"/>
    </row>
    <row r="721">
      <c r="Y721" s="45"/>
      <c r="Z721" s="46"/>
      <c r="AA721" s="46"/>
    </row>
    <row r="722">
      <c r="Y722" s="45"/>
      <c r="Z722" s="46"/>
      <c r="AA722" s="46"/>
    </row>
    <row r="723">
      <c r="Y723" s="45"/>
      <c r="Z723" s="46"/>
      <c r="AA723" s="46"/>
    </row>
    <row r="724">
      <c r="Y724" s="45"/>
      <c r="Z724" s="46"/>
      <c r="AA724" s="46"/>
    </row>
    <row r="725">
      <c r="Y725" s="45"/>
      <c r="Z725" s="46"/>
      <c r="AA725" s="46"/>
    </row>
    <row r="726">
      <c r="Y726" s="45"/>
      <c r="Z726" s="46"/>
      <c r="AA726" s="46"/>
    </row>
    <row r="727">
      <c r="Y727" s="45"/>
      <c r="Z727" s="46"/>
      <c r="AA727" s="46"/>
    </row>
    <row r="728">
      <c r="Y728" s="45"/>
      <c r="Z728" s="46"/>
      <c r="AA728" s="46"/>
    </row>
    <row r="729">
      <c r="Y729" s="45"/>
      <c r="Z729" s="46"/>
      <c r="AA729" s="46"/>
    </row>
    <row r="730">
      <c r="Y730" s="45"/>
      <c r="Z730" s="46"/>
      <c r="AA730" s="46"/>
    </row>
    <row r="731">
      <c r="Y731" s="45"/>
      <c r="Z731" s="46"/>
      <c r="AA731" s="46"/>
    </row>
    <row r="732">
      <c r="Y732" s="45"/>
      <c r="Z732" s="46"/>
      <c r="AA732" s="46"/>
    </row>
    <row r="733">
      <c r="Y733" s="45"/>
      <c r="Z733" s="46"/>
      <c r="AA733" s="46"/>
    </row>
    <row r="734">
      <c r="Y734" s="45"/>
      <c r="Z734" s="46"/>
      <c r="AA734" s="46"/>
    </row>
    <row r="735">
      <c r="Y735" s="45"/>
      <c r="Z735" s="46"/>
      <c r="AA735" s="46"/>
    </row>
    <row r="736">
      <c r="Y736" s="45"/>
      <c r="Z736" s="46"/>
      <c r="AA736" s="46"/>
    </row>
    <row r="737">
      <c r="Y737" s="45"/>
      <c r="Z737" s="46"/>
      <c r="AA737" s="46"/>
    </row>
    <row r="738">
      <c r="Y738" s="45"/>
      <c r="Z738" s="46"/>
      <c r="AA738" s="46"/>
    </row>
    <row r="739">
      <c r="Y739" s="45"/>
      <c r="Z739" s="46"/>
      <c r="AA739" s="46"/>
    </row>
    <row r="740">
      <c r="Y740" s="45"/>
      <c r="Z740" s="46"/>
      <c r="AA740" s="46"/>
    </row>
    <row r="741">
      <c r="Y741" s="45"/>
      <c r="Z741" s="46"/>
      <c r="AA741" s="46"/>
    </row>
    <row r="742">
      <c r="Y742" s="45"/>
      <c r="Z742" s="46"/>
      <c r="AA742" s="46"/>
    </row>
    <row r="743">
      <c r="Y743" s="45"/>
      <c r="Z743" s="46"/>
      <c r="AA743" s="46"/>
    </row>
    <row r="744">
      <c r="Y744" s="45"/>
      <c r="Z744" s="46"/>
      <c r="AA744" s="46"/>
    </row>
    <row r="745">
      <c r="Y745" s="45"/>
      <c r="Z745" s="46"/>
      <c r="AA745" s="46"/>
    </row>
    <row r="746">
      <c r="Y746" s="45"/>
      <c r="Z746" s="46"/>
      <c r="AA746" s="46"/>
    </row>
    <row r="747">
      <c r="Y747" s="45"/>
      <c r="Z747" s="46"/>
      <c r="AA747" s="46"/>
    </row>
    <row r="748">
      <c r="Y748" s="45"/>
      <c r="Z748" s="46"/>
      <c r="AA748" s="46"/>
    </row>
    <row r="749">
      <c r="Y749" s="45"/>
      <c r="Z749" s="46"/>
      <c r="AA749" s="46"/>
    </row>
    <row r="750">
      <c r="Y750" s="45"/>
      <c r="Z750" s="46"/>
      <c r="AA750" s="46"/>
    </row>
    <row r="751">
      <c r="Y751" s="45"/>
      <c r="Z751" s="46"/>
      <c r="AA751" s="46"/>
    </row>
    <row r="752">
      <c r="Y752" s="45"/>
      <c r="Z752" s="46"/>
      <c r="AA752" s="46"/>
    </row>
    <row r="753">
      <c r="Y753" s="45"/>
      <c r="Z753" s="46"/>
      <c r="AA753" s="46"/>
    </row>
    <row r="754">
      <c r="Y754" s="45"/>
      <c r="Z754" s="46"/>
      <c r="AA754" s="46"/>
    </row>
    <row r="755">
      <c r="Y755" s="45"/>
      <c r="Z755" s="46"/>
      <c r="AA755" s="46"/>
    </row>
    <row r="756">
      <c r="Y756" s="45"/>
      <c r="Z756" s="46"/>
      <c r="AA756" s="46"/>
    </row>
    <row r="757">
      <c r="Y757" s="45"/>
      <c r="Z757" s="46"/>
      <c r="AA757" s="46"/>
    </row>
    <row r="758">
      <c r="Y758" s="45"/>
      <c r="Z758" s="46"/>
      <c r="AA758" s="46"/>
    </row>
    <row r="759">
      <c r="Y759" s="45"/>
      <c r="Z759" s="46"/>
      <c r="AA759" s="46"/>
    </row>
    <row r="760">
      <c r="Y760" s="45"/>
      <c r="Z760" s="46"/>
      <c r="AA760" s="46"/>
    </row>
    <row r="761">
      <c r="Y761" s="45"/>
      <c r="Z761" s="46"/>
      <c r="AA761" s="46"/>
    </row>
    <row r="762">
      <c r="Y762" s="45"/>
      <c r="Z762" s="46"/>
      <c r="AA762" s="46"/>
    </row>
    <row r="763">
      <c r="Y763" s="45"/>
      <c r="Z763" s="46"/>
      <c r="AA763" s="46"/>
    </row>
    <row r="764">
      <c r="Y764" s="45"/>
      <c r="Z764" s="46"/>
      <c r="AA764" s="46"/>
    </row>
    <row r="765">
      <c r="Y765" s="45"/>
      <c r="Z765" s="46"/>
      <c r="AA765" s="46"/>
    </row>
    <row r="766">
      <c r="Y766" s="45"/>
      <c r="Z766" s="46"/>
      <c r="AA766" s="46"/>
    </row>
    <row r="767">
      <c r="Y767" s="45"/>
      <c r="Z767" s="46"/>
      <c r="AA767" s="46"/>
    </row>
    <row r="768">
      <c r="Y768" s="45"/>
      <c r="Z768" s="46"/>
      <c r="AA768" s="46"/>
    </row>
    <row r="769">
      <c r="Y769" s="45"/>
      <c r="Z769" s="46"/>
      <c r="AA769" s="46"/>
    </row>
    <row r="770">
      <c r="Y770" s="45"/>
      <c r="Z770" s="46"/>
      <c r="AA770" s="46"/>
    </row>
    <row r="771">
      <c r="Y771" s="45"/>
      <c r="Z771" s="46"/>
      <c r="AA771" s="46"/>
    </row>
    <row r="772">
      <c r="Y772" s="45"/>
      <c r="Z772" s="46"/>
      <c r="AA772" s="46"/>
    </row>
    <row r="773">
      <c r="Y773" s="45"/>
      <c r="Z773" s="46"/>
      <c r="AA773" s="46"/>
    </row>
    <row r="774">
      <c r="Y774" s="45"/>
      <c r="Z774" s="46"/>
      <c r="AA774" s="46"/>
    </row>
    <row r="775">
      <c r="Y775" s="45"/>
      <c r="Z775" s="46"/>
      <c r="AA775" s="46"/>
    </row>
    <row r="776">
      <c r="Y776" s="45"/>
      <c r="Z776" s="46"/>
      <c r="AA776" s="46"/>
    </row>
    <row r="777">
      <c r="Y777" s="45"/>
      <c r="Z777" s="46"/>
      <c r="AA777" s="46"/>
    </row>
    <row r="778">
      <c r="Y778" s="45"/>
      <c r="Z778" s="46"/>
      <c r="AA778" s="46"/>
    </row>
    <row r="779">
      <c r="Y779" s="45"/>
      <c r="Z779" s="46"/>
      <c r="AA779" s="46"/>
    </row>
    <row r="780">
      <c r="Y780" s="45"/>
      <c r="Z780" s="46"/>
      <c r="AA780" s="46"/>
    </row>
    <row r="781">
      <c r="Y781" s="45"/>
      <c r="Z781" s="46"/>
      <c r="AA781" s="46"/>
    </row>
    <row r="782">
      <c r="Y782" s="45"/>
      <c r="Z782" s="46"/>
      <c r="AA782" s="46"/>
    </row>
    <row r="783">
      <c r="Y783" s="45"/>
      <c r="Z783" s="46"/>
      <c r="AA783" s="46"/>
    </row>
    <row r="784">
      <c r="Y784" s="45"/>
      <c r="Z784" s="46"/>
      <c r="AA784" s="46"/>
    </row>
    <row r="785">
      <c r="Y785" s="45"/>
      <c r="Z785" s="46"/>
      <c r="AA785" s="46"/>
    </row>
    <row r="786">
      <c r="Y786" s="45"/>
      <c r="Z786" s="46"/>
      <c r="AA786" s="46"/>
    </row>
    <row r="787">
      <c r="Y787" s="45"/>
      <c r="Z787" s="46"/>
      <c r="AA787" s="46"/>
    </row>
    <row r="788">
      <c r="Y788" s="45"/>
      <c r="Z788" s="46"/>
      <c r="AA788" s="46"/>
    </row>
    <row r="789">
      <c r="Y789" s="45"/>
      <c r="Z789" s="46"/>
      <c r="AA789" s="46"/>
    </row>
    <row r="790">
      <c r="Y790" s="45"/>
      <c r="Z790" s="46"/>
      <c r="AA790" s="46"/>
    </row>
    <row r="791">
      <c r="Y791" s="45"/>
      <c r="Z791" s="46"/>
      <c r="AA791" s="46"/>
    </row>
    <row r="792">
      <c r="Y792" s="45"/>
      <c r="Z792" s="46"/>
      <c r="AA792" s="46"/>
    </row>
    <row r="793">
      <c r="Y793" s="45"/>
      <c r="Z793" s="46"/>
      <c r="AA793" s="46"/>
    </row>
    <row r="794">
      <c r="Y794" s="45"/>
      <c r="Z794" s="46"/>
      <c r="AA794" s="46"/>
    </row>
    <row r="795">
      <c r="Y795" s="45"/>
      <c r="Z795" s="46"/>
      <c r="AA795" s="46"/>
    </row>
    <row r="796">
      <c r="Y796" s="45"/>
      <c r="Z796" s="46"/>
      <c r="AA796" s="46"/>
    </row>
    <row r="797">
      <c r="Y797" s="45"/>
      <c r="Z797" s="46"/>
      <c r="AA797" s="46"/>
    </row>
    <row r="798">
      <c r="Y798" s="45"/>
      <c r="Z798" s="46"/>
      <c r="AA798" s="46"/>
    </row>
    <row r="799">
      <c r="Y799" s="45"/>
      <c r="Z799" s="46"/>
      <c r="AA799" s="46"/>
    </row>
    <row r="800">
      <c r="Y800" s="45"/>
      <c r="Z800" s="46"/>
      <c r="AA800" s="46"/>
    </row>
    <row r="801">
      <c r="Y801" s="45"/>
      <c r="Z801" s="46"/>
      <c r="AA801" s="46"/>
    </row>
    <row r="802">
      <c r="Y802" s="45"/>
      <c r="Z802" s="46"/>
      <c r="AA802" s="46"/>
    </row>
    <row r="803">
      <c r="Y803" s="45"/>
      <c r="Z803" s="46"/>
      <c r="AA803" s="46"/>
    </row>
    <row r="804">
      <c r="Y804" s="45"/>
      <c r="Z804" s="46"/>
      <c r="AA804" s="46"/>
    </row>
    <row r="805">
      <c r="Y805" s="45"/>
      <c r="Z805" s="46"/>
      <c r="AA805" s="46"/>
    </row>
    <row r="806">
      <c r="Y806" s="45"/>
      <c r="Z806" s="46"/>
      <c r="AA806" s="46"/>
    </row>
    <row r="807">
      <c r="Y807" s="45"/>
      <c r="Z807" s="46"/>
      <c r="AA807" s="46"/>
    </row>
    <row r="808">
      <c r="Y808" s="45"/>
      <c r="Z808" s="46"/>
      <c r="AA808" s="46"/>
    </row>
    <row r="809">
      <c r="Y809" s="45"/>
      <c r="Z809" s="46"/>
      <c r="AA809" s="46"/>
    </row>
    <row r="810">
      <c r="Y810" s="45"/>
      <c r="Z810" s="46"/>
      <c r="AA810" s="46"/>
    </row>
    <row r="811">
      <c r="Y811" s="45"/>
      <c r="Z811" s="46"/>
      <c r="AA811" s="46"/>
    </row>
    <row r="812">
      <c r="Y812" s="45"/>
      <c r="Z812" s="46"/>
      <c r="AA812" s="46"/>
    </row>
    <row r="813">
      <c r="Y813" s="45"/>
      <c r="Z813" s="46"/>
      <c r="AA813" s="46"/>
    </row>
    <row r="814">
      <c r="Y814" s="45"/>
      <c r="Z814" s="46"/>
      <c r="AA814" s="46"/>
    </row>
    <row r="815">
      <c r="Y815" s="45"/>
      <c r="Z815" s="46"/>
      <c r="AA815" s="46"/>
    </row>
    <row r="816">
      <c r="Y816" s="45"/>
      <c r="Z816" s="46"/>
      <c r="AA816" s="46"/>
    </row>
    <row r="817">
      <c r="Y817" s="45"/>
      <c r="Z817" s="46"/>
      <c r="AA817" s="46"/>
    </row>
    <row r="818">
      <c r="Y818" s="45"/>
      <c r="Z818" s="46"/>
      <c r="AA818" s="46"/>
    </row>
    <row r="819">
      <c r="Y819" s="45"/>
      <c r="Z819" s="46"/>
      <c r="AA819" s="46"/>
    </row>
    <row r="820">
      <c r="Y820" s="45"/>
      <c r="Z820" s="46"/>
      <c r="AA820" s="46"/>
    </row>
    <row r="821">
      <c r="Y821" s="45"/>
      <c r="Z821" s="46"/>
      <c r="AA821" s="46"/>
    </row>
    <row r="822">
      <c r="Y822" s="45"/>
      <c r="Z822" s="46"/>
      <c r="AA822" s="46"/>
    </row>
    <row r="823">
      <c r="Y823" s="45"/>
      <c r="Z823" s="46"/>
      <c r="AA823" s="46"/>
    </row>
    <row r="824">
      <c r="Y824" s="45"/>
      <c r="Z824" s="46"/>
      <c r="AA824" s="46"/>
    </row>
    <row r="825">
      <c r="Y825" s="45"/>
      <c r="Z825" s="46"/>
      <c r="AA825" s="46"/>
    </row>
    <row r="826">
      <c r="Y826" s="45"/>
      <c r="Z826" s="46"/>
      <c r="AA826" s="46"/>
    </row>
    <row r="827">
      <c r="Y827" s="45"/>
      <c r="Z827" s="46"/>
      <c r="AA827" s="46"/>
    </row>
    <row r="828">
      <c r="Y828" s="45"/>
      <c r="Z828" s="46"/>
      <c r="AA828" s="46"/>
    </row>
    <row r="829">
      <c r="Y829" s="45"/>
      <c r="Z829" s="46"/>
      <c r="AA829" s="46"/>
    </row>
    <row r="830">
      <c r="Y830" s="45"/>
      <c r="Z830" s="46"/>
      <c r="AA830" s="46"/>
    </row>
    <row r="831">
      <c r="Y831" s="45"/>
      <c r="Z831" s="46"/>
      <c r="AA831" s="46"/>
    </row>
    <row r="832">
      <c r="Y832" s="45"/>
      <c r="Z832" s="46"/>
      <c r="AA832" s="46"/>
    </row>
    <row r="833">
      <c r="Y833" s="45"/>
      <c r="Z833" s="46"/>
      <c r="AA833" s="46"/>
    </row>
    <row r="834">
      <c r="Y834" s="45"/>
      <c r="Z834" s="46"/>
      <c r="AA834" s="46"/>
    </row>
    <row r="835">
      <c r="Y835" s="45"/>
      <c r="Z835" s="46"/>
      <c r="AA835" s="46"/>
    </row>
    <row r="836">
      <c r="Y836" s="45"/>
      <c r="Z836" s="46"/>
      <c r="AA836" s="46"/>
    </row>
    <row r="837">
      <c r="Y837" s="45"/>
      <c r="Z837" s="46"/>
      <c r="AA837" s="46"/>
    </row>
    <row r="838">
      <c r="Y838" s="45"/>
      <c r="Z838" s="46"/>
      <c r="AA838" s="46"/>
    </row>
    <row r="839">
      <c r="Y839" s="45"/>
      <c r="Z839" s="46"/>
      <c r="AA839" s="46"/>
    </row>
    <row r="840">
      <c r="Y840" s="45"/>
      <c r="Z840" s="46"/>
      <c r="AA840" s="46"/>
    </row>
    <row r="841">
      <c r="Y841" s="45"/>
      <c r="Z841" s="46"/>
      <c r="AA841" s="46"/>
    </row>
    <row r="842">
      <c r="Y842" s="45"/>
      <c r="Z842" s="46"/>
      <c r="AA842" s="46"/>
    </row>
    <row r="843">
      <c r="Y843" s="45"/>
      <c r="Z843" s="46"/>
      <c r="AA843" s="46"/>
    </row>
    <row r="844">
      <c r="Y844" s="45"/>
      <c r="Z844" s="46"/>
      <c r="AA844" s="46"/>
    </row>
    <row r="845">
      <c r="Y845" s="45"/>
      <c r="Z845" s="46"/>
      <c r="AA845" s="46"/>
    </row>
    <row r="846">
      <c r="Y846" s="45"/>
      <c r="Z846" s="46"/>
      <c r="AA846" s="46"/>
    </row>
    <row r="847">
      <c r="Y847" s="45"/>
      <c r="Z847" s="46"/>
      <c r="AA847" s="46"/>
    </row>
    <row r="848">
      <c r="Y848" s="45"/>
      <c r="Z848" s="46"/>
      <c r="AA848" s="46"/>
    </row>
    <row r="849">
      <c r="Y849" s="45"/>
      <c r="Z849" s="46"/>
      <c r="AA849" s="46"/>
    </row>
    <row r="850">
      <c r="Y850" s="45"/>
      <c r="Z850" s="46"/>
      <c r="AA850" s="46"/>
    </row>
    <row r="851">
      <c r="Y851" s="45"/>
      <c r="Z851" s="46"/>
      <c r="AA851" s="46"/>
    </row>
    <row r="852">
      <c r="Y852" s="45"/>
      <c r="Z852" s="46"/>
      <c r="AA852" s="46"/>
    </row>
    <row r="853">
      <c r="Y853" s="45"/>
      <c r="Z853" s="46"/>
      <c r="AA853" s="46"/>
    </row>
    <row r="854">
      <c r="Y854" s="45"/>
      <c r="Z854" s="46"/>
      <c r="AA854" s="46"/>
    </row>
    <row r="855">
      <c r="Y855" s="45"/>
      <c r="Z855" s="46"/>
      <c r="AA855" s="46"/>
    </row>
    <row r="856">
      <c r="Y856" s="45"/>
      <c r="Z856" s="46"/>
      <c r="AA856" s="46"/>
    </row>
    <row r="857">
      <c r="Y857" s="45"/>
      <c r="Z857" s="46"/>
      <c r="AA857" s="46"/>
    </row>
    <row r="858">
      <c r="Y858" s="45"/>
      <c r="Z858" s="46"/>
      <c r="AA858" s="46"/>
    </row>
    <row r="859">
      <c r="Y859" s="45"/>
      <c r="Z859" s="46"/>
      <c r="AA859" s="46"/>
    </row>
    <row r="860">
      <c r="Y860" s="45"/>
      <c r="Z860" s="46"/>
      <c r="AA860" s="46"/>
    </row>
    <row r="861">
      <c r="Y861" s="45"/>
      <c r="Z861" s="46"/>
      <c r="AA861" s="46"/>
    </row>
    <row r="862">
      <c r="Y862" s="45"/>
      <c r="Z862" s="46"/>
      <c r="AA862" s="46"/>
    </row>
    <row r="863">
      <c r="Y863" s="45"/>
      <c r="Z863" s="46"/>
      <c r="AA863" s="46"/>
    </row>
    <row r="864">
      <c r="Y864" s="45"/>
      <c r="Z864" s="46"/>
      <c r="AA864" s="46"/>
    </row>
    <row r="865">
      <c r="Y865" s="45"/>
      <c r="Z865" s="46"/>
      <c r="AA865" s="46"/>
    </row>
    <row r="866">
      <c r="Y866" s="45"/>
      <c r="Z866" s="46"/>
      <c r="AA866" s="46"/>
    </row>
    <row r="867">
      <c r="Y867" s="45"/>
      <c r="Z867" s="46"/>
      <c r="AA867" s="46"/>
    </row>
    <row r="868">
      <c r="Y868" s="45"/>
      <c r="Z868" s="46"/>
      <c r="AA868" s="46"/>
    </row>
    <row r="869">
      <c r="Y869" s="45"/>
      <c r="Z869" s="46"/>
      <c r="AA869" s="46"/>
    </row>
    <row r="870">
      <c r="Y870" s="45"/>
      <c r="Z870" s="46"/>
      <c r="AA870" s="46"/>
    </row>
    <row r="871">
      <c r="Y871" s="45"/>
      <c r="Z871" s="46"/>
      <c r="AA871" s="46"/>
    </row>
    <row r="872">
      <c r="Y872" s="45"/>
      <c r="Z872" s="46"/>
      <c r="AA872" s="46"/>
    </row>
    <row r="873">
      <c r="Y873" s="45"/>
      <c r="Z873" s="46"/>
      <c r="AA873" s="46"/>
    </row>
    <row r="874">
      <c r="Y874" s="45"/>
      <c r="Z874" s="46"/>
      <c r="AA874" s="46"/>
    </row>
    <row r="875">
      <c r="Y875" s="45"/>
      <c r="Z875" s="46"/>
      <c r="AA875" s="46"/>
    </row>
    <row r="876">
      <c r="Y876" s="45"/>
      <c r="Z876" s="46"/>
      <c r="AA876" s="46"/>
    </row>
    <row r="877">
      <c r="Y877" s="45"/>
      <c r="Z877" s="46"/>
      <c r="AA877" s="46"/>
    </row>
    <row r="878">
      <c r="Y878" s="45"/>
      <c r="Z878" s="46"/>
      <c r="AA878" s="46"/>
    </row>
    <row r="879">
      <c r="Y879" s="45"/>
      <c r="Z879" s="46"/>
      <c r="AA879" s="46"/>
    </row>
    <row r="880">
      <c r="Y880" s="45"/>
      <c r="Z880" s="46"/>
      <c r="AA880" s="46"/>
    </row>
    <row r="881">
      <c r="Y881" s="45"/>
      <c r="Z881" s="46"/>
      <c r="AA881" s="46"/>
    </row>
    <row r="882">
      <c r="Y882" s="45"/>
      <c r="Z882" s="46"/>
      <c r="AA882" s="46"/>
    </row>
    <row r="883">
      <c r="Y883" s="45"/>
      <c r="Z883" s="46"/>
      <c r="AA883" s="46"/>
    </row>
    <row r="884">
      <c r="Y884" s="45"/>
      <c r="Z884" s="46"/>
      <c r="AA884" s="46"/>
    </row>
    <row r="885">
      <c r="Y885" s="45"/>
      <c r="Z885" s="46"/>
      <c r="AA885" s="46"/>
    </row>
    <row r="886">
      <c r="Y886" s="45"/>
      <c r="Z886" s="46"/>
      <c r="AA886" s="46"/>
    </row>
    <row r="887">
      <c r="Y887" s="45"/>
      <c r="Z887" s="46"/>
      <c r="AA887" s="46"/>
    </row>
    <row r="888">
      <c r="Y888" s="45"/>
      <c r="Z888" s="46"/>
      <c r="AA888" s="46"/>
    </row>
    <row r="889">
      <c r="Y889" s="45"/>
      <c r="Z889" s="46"/>
      <c r="AA889" s="46"/>
    </row>
    <row r="890">
      <c r="Y890" s="45"/>
      <c r="Z890" s="46"/>
      <c r="AA890" s="46"/>
    </row>
    <row r="891">
      <c r="Y891" s="45"/>
      <c r="Z891" s="46"/>
      <c r="AA891" s="46"/>
    </row>
    <row r="892">
      <c r="Y892" s="45"/>
      <c r="Z892" s="46"/>
      <c r="AA892" s="46"/>
    </row>
    <row r="893">
      <c r="Y893" s="45"/>
      <c r="Z893" s="46"/>
      <c r="AA893" s="46"/>
    </row>
    <row r="894">
      <c r="Y894" s="45"/>
      <c r="Z894" s="46"/>
      <c r="AA894" s="46"/>
    </row>
    <row r="895">
      <c r="Y895" s="45"/>
      <c r="Z895" s="46"/>
      <c r="AA895" s="46"/>
    </row>
    <row r="896">
      <c r="Y896" s="45"/>
      <c r="Z896" s="46"/>
      <c r="AA896" s="46"/>
    </row>
    <row r="897">
      <c r="Y897" s="45"/>
      <c r="Z897" s="46"/>
      <c r="AA897" s="46"/>
    </row>
    <row r="898">
      <c r="Y898" s="45"/>
      <c r="Z898" s="46"/>
      <c r="AA898" s="46"/>
    </row>
    <row r="899">
      <c r="Y899" s="45"/>
      <c r="Z899" s="46"/>
      <c r="AA899" s="46"/>
    </row>
    <row r="900">
      <c r="Y900" s="45"/>
      <c r="Z900" s="46"/>
      <c r="AA900" s="46"/>
    </row>
    <row r="901">
      <c r="Y901" s="45"/>
      <c r="Z901" s="46"/>
      <c r="AA901" s="46"/>
    </row>
    <row r="902">
      <c r="Y902" s="45"/>
      <c r="Z902" s="46"/>
      <c r="AA902" s="46"/>
    </row>
    <row r="903">
      <c r="Y903" s="45"/>
      <c r="Z903" s="46"/>
      <c r="AA903" s="46"/>
    </row>
    <row r="904">
      <c r="Y904" s="45"/>
      <c r="Z904" s="46"/>
      <c r="AA904" s="46"/>
    </row>
    <row r="905">
      <c r="Y905" s="45"/>
      <c r="Z905" s="46"/>
      <c r="AA905" s="46"/>
    </row>
    <row r="906">
      <c r="Y906" s="45"/>
      <c r="Z906" s="46"/>
      <c r="AA906" s="46"/>
    </row>
    <row r="907">
      <c r="Y907" s="45"/>
      <c r="Z907" s="46"/>
      <c r="AA907" s="46"/>
    </row>
    <row r="908">
      <c r="Y908" s="45"/>
      <c r="Z908" s="46"/>
      <c r="AA908" s="46"/>
    </row>
    <row r="909">
      <c r="Y909" s="45"/>
      <c r="Z909" s="46"/>
      <c r="AA909" s="46"/>
    </row>
    <row r="910">
      <c r="Y910" s="45"/>
      <c r="Z910" s="46"/>
      <c r="AA910" s="46"/>
    </row>
    <row r="911">
      <c r="Y911" s="45"/>
      <c r="Z911" s="46"/>
      <c r="AA911" s="46"/>
    </row>
    <row r="912">
      <c r="Y912" s="45"/>
      <c r="Z912" s="46"/>
      <c r="AA912" s="46"/>
    </row>
    <row r="913">
      <c r="Y913" s="45"/>
      <c r="Z913" s="46"/>
      <c r="AA913" s="46"/>
    </row>
    <row r="914">
      <c r="Y914" s="45"/>
      <c r="Z914" s="46"/>
      <c r="AA914" s="46"/>
    </row>
    <row r="915">
      <c r="Y915" s="45"/>
      <c r="Z915" s="46"/>
      <c r="AA915" s="46"/>
    </row>
    <row r="916">
      <c r="Y916" s="45"/>
      <c r="Z916" s="46"/>
      <c r="AA916" s="46"/>
    </row>
    <row r="917">
      <c r="Y917" s="45"/>
      <c r="Z917" s="46"/>
      <c r="AA917" s="46"/>
    </row>
    <row r="918">
      <c r="Y918" s="45"/>
      <c r="Z918" s="46"/>
      <c r="AA918" s="46"/>
    </row>
    <row r="919">
      <c r="Y919" s="45"/>
      <c r="Z919" s="46"/>
      <c r="AA919" s="46"/>
    </row>
    <row r="920">
      <c r="Y920" s="45"/>
      <c r="Z920" s="46"/>
      <c r="AA920" s="46"/>
    </row>
    <row r="921">
      <c r="Y921" s="45"/>
      <c r="Z921" s="46"/>
      <c r="AA921" s="46"/>
    </row>
    <row r="922">
      <c r="Y922" s="45"/>
      <c r="Z922" s="46"/>
      <c r="AA922" s="46"/>
    </row>
    <row r="923">
      <c r="Y923" s="45"/>
      <c r="Z923" s="46"/>
      <c r="AA923" s="46"/>
    </row>
    <row r="924">
      <c r="Y924" s="45"/>
      <c r="Z924" s="46"/>
      <c r="AA924" s="46"/>
    </row>
    <row r="925">
      <c r="Y925" s="45"/>
      <c r="Z925" s="46"/>
      <c r="AA925" s="46"/>
    </row>
    <row r="926">
      <c r="Y926" s="45"/>
      <c r="Z926" s="46"/>
      <c r="AA926" s="46"/>
    </row>
    <row r="927">
      <c r="Y927" s="45"/>
      <c r="Z927" s="46"/>
      <c r="AA927" s="46"/>
    </row>
    <row r="928">
      <c r="Y928" s="45"/>
      <c r="Z928" s="46"/>
      <c r="AA928" s="46"/>
    </row>
    <row r="929">
      <c r="Y929" s="45"/>
      <c r="Z929" s="46"/>
      <c r="AA929" s="46"/>
    </row>
    <row r="930">
      <c r="Y930" s="45"/>
      <c r="Z930" s="46"/>
      <c r="AA930" s="46"/>
    </row>
    <row r="931">
      <c r="Y931" s="45"/>
      <c r="Z931" s="46"/>
      <c r="AA931" s="46"/>
    </row>
    <row r="932">
      <c r="Y932" s="45"/>
      <c r="Z932" s="46"/>
      <c r="AA932" s="46"/>
    </row>
    <row r="933">
      <c r="Y933" s="45"/>
      <c r="Z933" s="46"/>
      <c r="AA933" s="46"/>
    </row>
    <row r="934">
      <c r="Y934" s="45"/>
      <c r="Z934" s="46"/>
      <c r="AA934" s="46"/>
    </row>
    <row r="935">
      <c r="Y935" s="45"/>
      <c r="Z935" s="46"/>
      <c r="AA935" s="46"/>
    </row>
    <row r="936">
      <c r="Y936" s="45"/>
      <c r="Z936" s="46"/>
      <c r="AA936" s="46"/>
    </row>
    <row r="937">
      <c r="Y937" s="45"/>
      <c r="Z937" s="46"/>
      <c r="AA937" s="46"/>
    </row>
    <row r="938">
      <c r="Y938" s="45"/>
      <c r="Z938" s="46"/>
      <c r="AA938" s="46"/>
    </row>
    <row r="939">
      <c r="Y939" s="45"/>
      <c r="Z939" s="46"/>
      <c r="AA939" s="46"/>
    </row>
    <row r="940">
      <c r="Y940" s="45"/>
      <c r="Z940" s="46"/>
      <c r="AA940" s="46"/>
    </row>
    <row r="941">
      <c r="Y941" s="45"/>
      <c r="Z941" s="46"/>
      <c r="AA941" s="46"/>
    </row>
    <row r="942">
      <c r="Y942" s="45"/>
      <c r="Z942" s="46"/>
      <c r="AA942" s="46"/>
    </row>
    <row r="943">
      <c r="Y943" s="45"/>
      <c r="Z943" s="46"/>
      <c r="AA943" s="46"/>
    </row>
    <row r="944">
      <c r="Y944" s="45"/>
      <c r="Z944" s="46"/>
      <c r="AA944" s="46"/>
    </row>
    <row r="945">
      <c r="Y945" s="45"/>
      <c r="Z945" s="46"/>
      <c r="AA945" s="46"/>
    </row>
    <row r="946">
      <c r="Y946" s="45"/>
      <c r="Z946" s="46"/>
      <c r="AA946" s="46"/>
    </row>
    <row r="947">
      <c r="Y947" s="45"/>
      <c r="Z947" s="46"/>
      <c r="AA947" s="46"/>
    </row>
    <row r="948">
      <c r="Y948" s="45"/>
      <c r="Z948" s="46"/>
      <c r="AA948" s="46"/>
    </row>
    <row r="949">
      <c r="Y949" s="45"/>
      <c r="Z949" s="46"/>
      <c r="AA949" s="46"/>
    </row>
    <row r="950">
      <c r="Y950" s="45"/>
      <c r="Z950" s="46"/>
      <c r="AA950" s="46"/>
    </row>
    <row r="951">
      <c r="Y951" s="45"/>
      <c r="Z951" s="46"/>
      <c r="AA951" s="46"/>
    </row>
    <row r="952">
      <c r="Y952" s="45"/>
      <c r="Z952" s="46"/>
      <c r="AA952" s="46"/>
    </row>
    <row r="953">
      <c r="Y953" s="45"/>
      <c r="Z953" s="46"/>
      <c r="AA953" s="46"/>
    </row>
    <row r="954">
      <c r="Y954" s="45"/>
      <c r="Z954" s="46"/>
      <c r="AA954" s="46"/>
    </row>
    <row r="955">
      <c r="Y955" s="45"/>
      <c r="Z955" s="46"/>
      <c r="AA955" s="46"/>
    </row>
    <row r="956">
      <c r="Y956" s="45"/>
      <c r="Z956" s="46"/>
      <c r="AA956" s="46"/>
    </row>
    <row r="957">
      <c r="Y957" s="45"/>
      <c r="Z957" s="46"/>
      <c r="AA957" s="46"/>
    </row>
    <row r="958">
      <c r="Y958" s="45"/>
      <c r="Z958" s="46"/>
      <c r="AA958" s="46"/>
    </row>
    <row r="959">
      <c r="Y959" s="45"/>
      <c r="Z959" s="46"/>
      <c r="AA959" s="46"/>
    </row>
    <row r="960">
      <c r="Y960" s="45"/>
      <c r="Z960" s="46"/>
      <c r="AA960" s="46"/>
    </row>
    <row r="961">
      <c r="Y961" s="45"/>
      <c r="Z961" s="46"/>
      <c r="AA961" s="46"/>
    </row>
    <row r="962">
      <c r="Y962" s="45"/>
      <c r="Z962" s="46"/>
      <c r="AA962" s="46"/>
    </row>
    <row r="963">
      <c r="Y963" s="45"/>
      <c r="Z963" s="46"/>
      <c r="AA963" s="46"/>
    </row>
    <row r="964">
      <c r="Y964" s="45"/>
      <c r="Z964" s="46"/>
      <c r="AA964" s="46"/>
    </row>
    <row r="965">
      <c r="Y965" s="45"/>
      <c r="Z965" s="46"/>
      <c r="AA965" s="46"/>
    </row>
    <row r="966">
      <c r="Y966" s="45"/>
      <c r="Z966" s="46"/>
      <c r="AA966" s="46"/>
    </row>
    <row r="967">
      <c r="Y967" s="45"/>
      <c r="Z967" s="46"/>
      <c r="AA967" s="46"/>
    </row>
    <row r="968">
      <c r="Y968" s="45"/>
      <c r="Z968" s="46"/>
      <c r="AA968" s="46"/>
    </row>
    <row r="969">
      <c r="Y969" s="45"/>
      <c r="Z969" s="46"/>
      <c r="AA969" s="46"/>
    </row>
    <row r="970">
      <c r="Y970" s="45"/>
      <c r="Z970" s="46"/>
      <c r="AA970" s="46"/>
    </row>
    <row r="971">
      <c r="Y971" s="45"/>
      <c r="Z971" s="46"/>
      <c r="AA971" s="46"/>
    </row>
    <row r="972">
      <c r="Y972" s="45"/>
      <c r="Z972" s="46"/>
      <c r="AA972" s="46"/>
    </row>
    <row r="973">
      <c r="Y973" s="45"/>
      <c r="Z973" s="46"/>
      <c r="AA973" s="46"/>
    </row>
    <row r="974">
      <c r="Y974" s="45"/>
      <c r="Z974" s="46"/>
      <c r="AA974" s="46"/>
    </row>
    <row r="975">
      <c r="Y975" s="45"/>
      <c r="Z975" s="46"/>
      <c r="AA975" s="46"/>
    </row>
    <row r="976">
      <c r="Y976" s="45"/>
      <c r="Z976" s="46"/>
      <c r="AA976" s="46"/>
    </row>
    <row r="977">
      <c r="Y977" s="45"/>
      <c r="Z977" s="46"/>
      <c r="AA977" s="46"/>
    </row>
    <row r="978">
      <c r="Y978" s="45"/>
      <c r="Z978" s="46"/>
      <c r="AA978" s="46"/>
    </row>
    <row r="979">
      <c r="Y979" s="45"/>
      <c r="Z979" s="46"/>
      <c r="AA979" s="46"/>
    </row>
    <row r="980">
      <c r="Y980" s="45"/>
      <c r="Z980" s="46"/>
      <c r="AA980" s="46"/>
    </row>
    <row r="981">
      <c r="Y981" s="45"/>
      <c r="Z981" s="46"/>
      <c r="AA981" s="46"/>
    </row>
    <row r="982">
      <c r="Y982" s="45"/>
      <c r="Z982" s="46"/>
      <c r="AA982" s="46"/>
    </row>
    <row r="983">
      <c r="Y983" s="45"/>
      <c r="Z983" s="46"/>
      <c r="AA983" s="46"/>
    </row>
    <row r="984">
      <c r="Y984" s="45"/>
      <c r="Z984" s="46"/>
      <c r="AA984" s="46"/>
    </row>
    <row r="985">
      <c r="Y985" s="45"/>
      <c r="Z985" s="46"/>
      <c r="AA985" s="46"/>
    </row>
    <row r="986">
      <c r="Y986" s="45"/>
      <c r="Z986" s="46"/>
      <c r="AA986" s="46"/>
    </row>
    <row r="987">
      <c r="Y987" s="45"/>
      <c r="Z987" s="46"/>
      <c r="AA987" s="46"/>
    </row>
    <row r="988">
      <c r="Y988" s="45"/>
      <c r="Z988" s="46"/>
      <c r="AA988" s="46"/>
    </row>
    <row r="989">
      <c r="Y989" s="45"/>
      <c r="Z989" s="46"/>
      <c r="AA989" s="46"/>
    </row>
    <row r="990">
      <c r="Y990" s="45"/>
      <c r="Z990" s="46"/>
      <c r="AA990" s="46"/>
    </row>
    <row r="991">
      <c r="Y991" s="45"/>
      <c r="Z991" s="46"/>
      <c r="AA991" s="46"/>
    </row>
    <row r="992">
      <c r="Y992" s="45"/>
      <c r="Z992" s="46"/>
      <c r="AA992" s="46"/>
    </row>
    <row r="993">
      <c r="Y993" s="45"/>
      <c r="Z993" s="46"/>
      <c r="AA993" s="46"/>
    </row>
    <row r="994">
      <c r="Y994" s="45"/>
      <c r="Z994" s="46"/>
      <c r="AA994" s="46"/>
    </row>
    <row r="995">
      <c r="Y995" s="45"/>
      <c r="Z995" s="46"/>
      <c r="AA995" s="46"/>
    </row>
    <row r="996">
      <c r="Y996" s="45"/>
      <c r="Z996" s="46"/>
      <c r="AA996" s="46"/>
    </row>
    <row r="997">
      <c r="Y997" s="45"/>
      <c r="Z997" s="46"/>
      <c r="AA997" s="46"/>
    </row>
    <row r="998">
      <c r="Y998" s="45"/>
      <c r="Z998" s="46"/>
      <c r="AA998" s="46"/>
    </row>
    <row r="999">
      <c r="Y999" s="45"/>
      <c r="Z999" s="46"/>
      <c r="AA999" s="46"/>
    </row>
    <row r="1000">
      <c r="Y1000" s="45"/>
      <c r="Z1000" s="46"/>
      <c r="AA1000" s="46"/>
    </row>
    <row r="1001">
      <c r="Y1001" s="45"/>
      <c r="Z1001" s="46"/>
      <c r="AA1001" s="46"/>
    </row>
    <row r="1002">
      <c r="Y1002" s="45"/>
      <c r="Z1002" s="46"/>
      <c r="AA1002" s="46"/>
    </row>
    <row r="1003">
      <c r="Y1003" s="45"/>
      <c r="Z1003" s="46"/>
      <c r="AA1003" s="46"/>
    </row>
    <row r="1004">
      <c r="Y1004" s="45"/>
      <c r="Z1004" s="46"/>
      <c r="AA1004" s="46"/>
    </row>
    <row r="1005">
      <c r="Y1005" s="45"/>
      <c r="Z1005" s="46"/>
      <c r="AA1005" s="46"/>
    </row>
    <row r="1006">
      <c r="Y1006" s="45"/>
      <c r="Z1006" s="46"/>
      <c r="AA1006" s="46"/>
    </row>
    <row r="1007">
      <c r="Y1007" s="45"/>
      <c r="Z1007" s="46"/>
      <c r="AA1007" s="46"/>
    </row>
    <row r="1008">
      <c r="Y1008" s="45"/>
      <c r="Z1008" s="46"/>
      <c r="AA1008" s="46"/>
    </row>
    <row r="1009">
      <c r="Y1009" s="45"/>
      <c r="Z1009" s="46"/>
      <c r="AA1009" s="46"/>
    </row>
    <row r="1010">
      <c r="Y1010" s="45"/>
      <c r="Z1010" s="46"/>
      <c r="AA1010" s="46"/>
    </row>
  </sheetData>
  <mergeCells count="26">
    <mergeCell ref="S1:V1"/>
    <mergeCell ref="AE1:AI1"/>
    <mergeCell ref="F2:H2"/>
    <mergeCell ref="B3:D3"/>
    <mergeCell ref="J3:Q3"/>
    <mergeCell ref="S3:V3"/>
    <mergeCell ref="Y3:AC3"/>
    <mergeCell ref="AE13:AF13"/>
    <mergeCell ref="AE26:AF26"/>
    <mergeCell ref="AE27:AF27"/>
    <mergeCell ref="AE40:AF40"/>
    <mergeCell ref="AE41:AF41"/>
    <mergeCell ref="B31:D31"/>
    <mergeCell ref="J31:Q31"/>
    <mergeCell ref="S31:V31"/>
    <mergeCell ref="Y31:AC31"/>
    <mergeCell ref="AE31:AI31"/>
    <mergeCell ref="B44:D44"/>
    <mergeCell ref="G44:I44"/>
    <mergeCell ref="AE3:AI3"/>
    <mergeCell ref="AE12:AF12"/>
    <mergeCell ref="B17:D17"/>
    <mergeCell ref="J17:Q17"/>
    <mergeCell ref="S17:V17"/>
    <mergeCell ref="Y17:AC17"/>
    <mergeCell ref="AE17:AI17"/>
  </mergeCells>
  <conditionalFormatting sqref="D33:D35">
    <cfRule type="expression" dxfId="0" priority="1">
      <formula>E33:Z33 = MAX(33:33)</formula>
    </cfRule>
  </conditionalFormatting>
  <conditionalFormatting sqref="B10:D11 B24:D25 B38:D39 B51:D51 G51:I51">
    <cfRule type="expression" dxfId="0" priority="2">
      <formula>B10=MAX($B10:$D10)</formula>
    </cfRule>
  </conditionalFormatting>
  <conditionalFormatting sqref="J10:Q10 Y10:AC10 J24:Q24 Y24:AC24 J38:M38 P38 Y38:AC38">
    <cfRule type="expression" dxfId="0" priority="3">
      <formula>J10=MAX(J$10,J$24,J$38)</formula>
    </cfRule>
  </conditionalFormatting>
  <conditionalFormatting sqref="J11:Q11 Y11:AC11 J25:Q25 Y25:AC25 J39:M39 O39:P39 Y39:AC39">
    <cfRule type="expression" dxfId="0" priority="4">
      <formula>J11=MAX(J$11,J$25,J$39)</formula>
    </cfRule>
  </conditionalFormatting>
  <conditionalFormatting sqref="C14:D14 I26:Q26 Y26:AC26 C28:D28 J40:Q40 Y40:AC40 C41:D41 C54:D54 H54:I54">
    <cfRule type="cellIs" dxfId="1" priority="5" operator="between">
      <formula>0.05</formula>
      <formula>0.01</formula>
    </cfRule>
  </conditionalFormatting>
  <conditionalFormatting sqref="C14:D14 I26:Q26 Y26:AC26 C28:D28 J40:Q40 Y40:AC40 C41:D41 C54:D54 H54:I54">
    <cfRule type="cellIs" dxfId="2" priority="6" operator="lessThanOrEqual">
      <formula>0.01</formula>
    </cfRule>
  </conditionalFormatting>
  <hyperlinks>
    <hyperlink display="#WALSUI-s3-f20" location="#WALSUI-s3-f20!A1" ref="F4"/>
    <hyperlink display="#WALSUI-s3-f20-filtered" location="#WALSUI-s3-f20-filtered!A1" ref="G4"/>
    <hyperlink display="#WALSUI-v10-b0.7-e0.7-grouped" location="#WALSUI-v10-b0.7-e0.7-grouped!A1" ref="H4"/>
    <hyperlink display="#TURITA-s3-f20" location="#TURITA-s3-f20!A1" ref="F5"/>
    <hyperlink display="#TURITA-s3-f20-filtered" location="#TURITA-s3-f20-filtered!A1" ref="G5"/>
    <hyperlink display="#TURITA-v15-b0.6-e0.6-grouped" location="#TURITA-v15-b0.6-e0.6-grouped!A1" ref="H5"/>
    <hyperlink display="#SOUARS-s3-f20" location="#SOUARS-s3-f20!A1" ref="F6"/>
    <hyperlink display="#SOUARS-s3-f20-filtered" location="#SOUARS-s3-f20-filtered!A1" ref="G6"/>
    <hyperlink display="#SOUARS-v15-b0.7-e0.7-grouped" location="#SOUARS-v15-b0.7-e0.7-grouped!A1" ref="H6"/>
    <hyperlink display="#LEIMUN-s10-f5" location="#LEIMUN-s10-f5!A1" ref="F7"/>
    <hyperlink display="#LEIMUN-s10-f5-filtered" location="#LEIMUN-s10-f5-filtered!A1" ref="G7"/>
    <hyperlink display="#LEIMUN-v30-b0.6-e0.6-grouped" location="#LEIMUN-v30-b0.6-e0.6-grouped!A1" ref="H7"/>
    <hyperlink display="#SCOCZE-s3-f20" location="#SCOCZE-s3-f20!A1" ref="F8"/>
    <hyperlink display="#SCOCZE-s3-f20-filtered" location="#SCOCZE-s3-f20-filtered!A1" ref="G8"/>
    <hyperlink display="#SCOCZE-v15-b0.7-e0.7-grouped" location="#SCOCZE-v15-b0.7-e0.7-grouped!A1" ref="H8"/>
    <hyperlink display="#HUNFRA-s5-f20" location="#HUNFRA-s5-f20!A1" ref="F9"/>
    <hyperlink display="#HUNFRA-s5-f20-filtered" location="#HUNFRA-s5-f20-filtered!A1" ref="G9"/>
    <hyperlink display="#HUNFRA-v15-b0.7-e0.7-grouped" location="#HUNFRA-v15-b0.7-e0.7-grouped!A1" ref="H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v>
      </c>
      <c r="B1" s="1" t="s">
        <v>71</v>
      </c>
      <c r="C1" s="1" t="s">
        <v>56</v>
      </c>
      <c r="D1" s="1" t="s">
        <v>72</v>
      </c>
      <c r="E1" s="1" t="s">
        <v>73</v>
      </c>
      <c r="F1" s="1" t="s">
        <v>18</v>
      </c>
      <c r="G1" s="1" t="s">
        <v>9</v>
      </c>
      <c r="H1" s="1" t="s">
        <v>74</v>
      </c>
      <c r="I1" s="8"/>
      <c r="J1" s="1" t="s">
        <v>70</v>
      </c>
      <c r="K1" s="1" t="s">
        <v>71</v>
      </c>
      <c r="L1" s="1" t="s">
        <v>75</v>
      </c>
      <c r="M1" s="1" t="s">
        <v>14</v>
      </c>
      <c r="N1" s="1" t="s">
        <v>15</v>
      </c>
      <c r="O1" s="1" t="s">
        <v>17</v>
      </c>
      <c r="P1" s="1" t="s">
        <v>16</v>
      </c>
      <c r="Q1" s="8"/>
      <c r="R1" s="1" t="s">
        <v>70</v>
      </c>
      <c r="S1" s="1" t="s">
        <v>71</v>
      </c>
      <c r="T1" s="1" t="s">
        <v>76</v>
      </c>
      <c r="U1" s="1" t="s">
        <v>77</v>
      </c>
      <c r="V1" s="1" t="s">
        <v>78</v>
      </c>
      <c r="W1" s="1" t="s">
        <v>79</v>
      </c>
      <c r="X1" s="8"/>
      <c r="Y1" s="8"/>
      <c r="Z1" s="8"/>
    </row>
    <row r="2">
      <c r="A2" s="51" t="s">
        <v>27</v>
      </c>
      <c r="B2" s="39" t="s">
        <v>2</v>
      </c>
      <c r="C2" s="52">
        <f>VLOOKUP(A2,Summary!$A$45:$D$50,2,FALSE)</f>
        <v>35</v>
      </c>
      <c r="D2" s="52">
        <f>VLOOKUP(A2,Summary!$F$45:$I$50,2,FALSE)</f>
        <v>22</v>
      </c>
      <c r="E2" s="52" t="str">
        <f>C2 &amp; " (" &amp; D2 &amp; ")"</f>
        <v>35 (22)</v>
      </c>
      <c r="F2" s="13">
        <f>VLOOKUP(A2,Summary!$A$4:$D$9,2,FALSE)</f>
        <v>0.6285714286</v>
      </c>
      <c r="G2" s="13">
        <f>VLOOKUP($A2,Summary!$A$18:$D$23,2,FALSE)</f>
        <v>0.7222222222</v>
      </c>
      <c r="H2" s="13">
        <f>VLOOKUP($A2,Summary!$A$32:$D$37,2,FALSE)</f>
        <v>0.6721504113</v>
      </c>
      <c r="J2" s="51" t="s">
        <v>27</v>
      </c>
      <c r="K2" s="39" t="s">
        <v>2</v>
      </c>
      <c r="L2" s="13">
        <v>0.05714285714285714</v>
      </c>
      <c r="M2" s="13">
        <v>0.14285714285714285</v>
      </c>
      <c r="N2" s="13">
        <v>0.17142857142857143</v>
      </c>
      <c r="O2" s="13">
        <v>0.2857142857142857</v>
      </c>
      <c r="P2" s="13">
        <v>0.34285714285714286</v>
      </c>
      <c r="R2" s="51" t="s">
        <v>27</v>
      </c>
      <c r="S2" s="39" t="s">
        <v>2</v>
      </c>
      <c r="T2" s="13">
        <v>1.0</v>
      </c>
      <c r="U2" s="13">
        <v>0.6666666666666666</v>
      </c>
      <c r="V2" s="13">
        <v>0.5</v>
      </c>
      <c r="W2" s="13">
        <v>0.75</v>
      </c>
    </row>
    <row r="3">
      <c r="B3" s="39" t="s">
        <v>80</v>
      </c>
      <c r="C3" s="52">
        <f>VLOOKUP(A2,Summary!$A$45:$D$50,3,FALSE)</f>
        <v>20</v>
      </c>
      <c r="D3" s="52">
        <f>VLOOKUP(A2,Summary!$F$45:$I$50,3,FALSE)</f>
        <v>17</v>
      </c>
      <c r="E3" s="52" t="str">
        <f t="shared" ref="E3:E22" si="1">C3 &amp; " (" &amp; TEXT(D3, "#") &amp; ")"</f>
        <v>20 (17)</v>
      </c>
      <c r="F3" s="13">
        <f>VLOOKUP(A2,Summary!$A$4:$D$9,3,FALSE)</f>
        <v>0.85</v>
      </c>
      <c r="G3" s="13">
        <f>VLOOKUP($A2,Summary!$A$18:$D$23,3,FALSE)</f>
        <v>0.5555555556</v>
      </c>
      <c r="H3" s="13">
        <f>VLOOKUP($A2,Summary!$A$32:$D$37,3,FALSE)</f>
        <v>0.6719367589</v>
      </c>
      <c r="K3" s="39" t="s">
        <v>80</v>
      </c>
      <c r="L3" s="13">
        <v>0.0</v>
      </c>
      <c r="M3" s="13">
        <v>0.15</v>
      </c>
      <c r="N3" s="13">
        <v>0.0</v>
      </c>
      <c r="O3" s="13">
        <v>0.45</v>
      </c>
      <c r="P3" s="13">
        <v>0.4</v>
      </c>
      <c r="S3" s="39" t="s">
        <v>80</v>
      </c>
      <c r="T3" s="13">
        <v>1.0</v>
      </c>
      <c r="U3" s="13">
        <v>0.6666666666666666</v>
      </c>
      <c r="V3" s="13">
        <v>0.75</v>
      </c>
      <c r="W3" s="13">
        <v>0.25</v>
      </c>
    </row>
    <row r="4">
      <c r="B4" s="39" t="s">
        <v>81</v>
      </c>
      <c r="C4" s="52">
        <f>VLOOKUP(A2,Summary!$A$45:$D$50,4,FALSE)</f>
        <v>32</v>
      </c>
      <c r="D4" s="52">
        <f>VLOOKUP(A2,Summary!$F$45:$I$50,4,FALSE)</f>
        <v>24</v>
      </c>
      <c r="E4" s="52" t="str">
        <f t="shared" si="1"/>
        <v>32 (24)</v>
      </c>
      <c r="F4" s="13">
        <f>VLOOKUP(A2,Summary!$A$4:$D$9,4,FALSE)</f>
        <v>0.75</v>
      </c>
      <c r="G4" s="13">
        <f>VLOOKUP($A2,Summary!$A$18:$D$23,4,FALSE)</f>
        <v>0.6666666667</v>
      </c>
      <c r="H4" s="13">
        <f>VLOOKUP($A2,Summary!$A$32:$D$37,4,FALSE)</f>
        <v>0.7058823529</v>
      </c>
      <c r="K4" s="39" t="s">
        <v>81</v>
      </c>
      <c r="L4" s="13">
        <v>0.0</v>
      </c>
      <c r="M4" s="13">
        <v>0.0625</v>
      </c>
      <c r="N4" s="13">
        <v>0.1875</v>
      </c>
      <c r="O4" s="13">
        <v>0.40625</v>
      </c>
      <c r="P4" s="13">
        <v>0.34375</v>
      </c>
      <c r="S4" s="39" t="s">
        <v>81</v>
      </c>
      <c r="T4" s="13">
        <v>1.0</v>
      </c>
      <c r="U4" s="13">
        <v>1.0</v>
      </c>
      <c r="V4" s="13">
        <v>0.75</v>
      </c>
      <c r="W4" s="13">
        <v>0.375</v>
      </c>
    </row>
    <row r="5">
      <c r="A5" s="51" t="s">
        <v>31</v>
      </c>
      <c r="B5" s="39" t="s">
        <v>2</v>
      </c>
      <c r="C5" s="52">
        <f>VLOOKUP(A5,Summary!$A$45:$D$50,2,FALSE)</f>
        <v>49</v>
      </c>
      <c r="D5" s="52">
        <f>VLOOKUP(A5,Summary!$F$45:$I$50,2,FALSE)</f>
        <v>29</v>
      </c>
      <c r="E5" s="52" t="str">
        <f t="shared" si="1"/>
        <v>49 (29)</v>
      </c>
      <c r="F5" s="13">
        <f>VLOOKUP(A5,Summary!$A$4:$D$9,2,FALSE)</f>
        <v>0.5918367347</v>
      </c>
      <c r="G5" s="13">
        <f>VLOOKUP($A5,Summary!$A$18:$D$23,2,FALSE)</f>
        <v>0.4347826087</v>
      </c>
      <c r="H5" s="13">
        <f>VLOOKUP($A5,Summary!$A$32:$D$37,2,FALSE)</f>
        <v>0.5012964564</v>
      </c>
      <c r="J5" s="51" t="s">
        <v>31</v>
      </c>
      <c r="K5" s="39" t="s">
        <v>2</v>
      </c>
      <c r="L5" s="13">
        <v>0.04081632653061224</v>
      </c>
      <c r="M5" s="13">
        <v>0.24489795918367346</v>
      </c>
      <c r="N5" s="13">
        <v>0.12244897959183673</v>
      </c>
      <c r="O5" s="13">
        <v>0.3877551020408163</v>
      </c>
      <c r="P5" s="13">
        <v>0.20408163265306123</v>
      </c>
      <c r="R5" s="51" t="s">
        <v>31</v>
      </c>
      <c r="S5" s="39" t="s">
        <v>2</v>
      </c>
      <c r="T5" s="13">
        <v>0.3333333333333333</v>
      </c>
      <c r="U5" s="13">
        <v>0.42857142857142855</v>
      </c>
      <c r="V5" s="13">
        <v>0.5</v>
      </c>
      <c r="W5" s="13">
        <v>0.4444444444444444</v>
      </c>
    </row>
    <row r="6">
      <c r="B6" s="39" t="s">
        <v>80</v>
      </c>
      <c r="C6" s="52">
        <f>VLOOKUP(A5,Summary!$A$45:$D$50,3,FALSE)</f>
        <v>30</v>
      </c>
      <c r="D6" s="52">
        <f>VLOOKUP(A5,Summary!$F$45:$I$50,3,FALSE)</f>
        <v>23</v>
      </c>
      <c r="E6" s="52" t="str">
        <f t="shared" si="1"/>
        <v>30 (23)</v>
      </c>
      <c r="F6" s="13">
        <f>VLOOKUP(A5,Summary!$A$4:$D$9,3,FALSE)</f>
        <v>0.7666666667</v>
      </c>
      <c r="G6" s="13">
        <f>VLOOKUP($A5,Summary!$A$18:$D$23,3,FALSE)</f>
        <v>0.4347826087</v>
      </c>
      <c r="H6" s="13">
        <f>VLOOKUP($A5,Summary!$A$32:$D$37,3,FALSE)</f>
        <v>0.5548854041</v>
      </c>
      <c r="K6" s="39" t="s">
        <v>80</v>
      </c>
      <c r="L6" s="13">
        <v>0.06666666666666667</v>
      </c>
      <c r="M6" s="13">
        <v>0.06666666666666667</v>
      </c>
      <c r="N6" s="13">
        <v>0.1</v>
      </c>
      <c r="O6" s="13">
        <v>0.43333333333333335</v>
      </c>
      <c r="P6" s="13">
        <v>0.3333333333333333</v>
      </c>
      <c r="S6" s="39" t="s">
        <v>80</v>
      </c>
      <c r="T6" s="13">
        <v>1.0</v>
      </c>
      <c r="U6" s="13">
        <v>0.42857142857142855</v>
      </c>
      <c r="V6" s="13">
        <v>0.5</v>
      </c>
      <c r="W6" s="13">
        <v>0.2222222222222222</v>
      </c>
    </row>
    <row r="7">
      <c r="B7" s="39" t="s">
        <v>81</v>
      </c>
      <c r="C7" s="52">
        <f>VLOOKUP(A5,Summary!$A$45:$D$50,4,FALSE)</f>
        <v>35</v>
      </c>
      <c r="D7" s="52">
        <f>VLOOKUP(A5,Summary!$F$45:$I$50,4,FALSE)</f>
        <v>25</v>
      </c>
      <c r="E7" s="52" t="str">
        <f t="shared" si="1"/>
        <v>35 (25)</v>
      </c>
      <c r="F7" s="13">
        <f>VLOOKUP(A5,Summary!$A$4:$D$9,4,FALSE)</f>
        <v>0.7142857143</v>
      </c>
      <c r="G7" s="13">
        <f>VLOOKUP($A5,Summary!$A$18:$D$23,4,FALSE)</f>
        <v>0.4347826087</v>
      </c>
      <c r="H7" s="13">
        <f>VLOOKUP($A5,Summary!$A$32:$D$37,4,FALSE)</f>
        <v>0.5405405405</v>
      </c>
      <c r="K7" s="39" t="s">
        <v>81</v>
      </c>
      <c r="L7" s="13">
        <v>0.11428571428571428</v>
      </c>
      <c r="M7" s="13">
        <v>0.02857142857142857</v>
      </c>
      <c r="N7" s="13">
        <v>0.14285714285714285</v>
      </c>
      <c r="O7" s="13">
        <v>0.42857142857142855</v>
      </c>
      <c r="P7" s="13">
        <v>0.2857142857142857</v>
      </c>
      <c r="S7" s="39" t="s">
        <v>81</v>
      </c>
      <c r="T7" s="13">
        <v>1.0</v>
      </c>
      <c r="U7" s="13">
        <v>0.42857142857142855</v>
      </c>
      <c r="V7" s="13">
        <v>0.5</v>
      </c>
      <c r="W7" s="13">
        <v>0.2222222222222222</v>
      </c>
    </row>
    <row r="8">
      <c r="A8" s="1" t="s">
        <v>23</v>
      </c>
      <c r="B8" s="39" t="s">
        <v>2</v>
      </c>
      <c r="C8" s="52">
        <f>VLOOKUP(A8,Summary!$A$45:$D$50,2,FALSE)</f>
        <v>39</v>
      </c>
      <c r="D8" s="52">
        <f>VLOOKUP(A8,Summary!$F$45:$I$50,2,FALSE)</f>
        <v>20</v>
      </c>
      <c r="E8" s="52" t="str">
        <f t="shared" si="1"/>
        <v>39 (20)</v>
      </c>
      <c r="F8" s="13">
        <f>VLOOKUP(A8,Summary!$A$4:$D$9,2,FALSE)</f>
        <v>0.5128205128</v>
      </c>
      <c r="G8" s="13">
        <f>VLOOKUP($A8,Summary!$A$18:$D$23,2,FALSE)</f>
        <v>0.5555555556</v>
      </c>
      <c r="H8" s="13">
        <f>VLOOKUP($A8,Summary!$A$32:$D$37,2,FALSE)</f>
        <v>0.5333333333</v>
      </c>
      <c r="J8" s="1" t="s">
        <v>23</v>
      </c>
      <c r="K8" s="39" t="s">
        <v>2</v>
      </c>
      <c r="L8" s="13">
        <v>0.05128205128205128</v>
      </c>
      <c r="M8" s="13">
        <v>0.1282051282051282</v>
      </c>
      <c r="N8" s="13">
        <v>0.3076923076923077</v>
      </c>
      <c r="O8" s="13">
        <v>0.358974358974359</v>
      </c>
      <c r="P8" s="13">
        <v>0.15384615384615385</v>
      </c>
      <c r="R8" s="1" t="s">
        <v>23</v>
      </c>
      <c r="S8" s="39" t="s">
        <v>2</v>
      </c>
      <c r="T8" s="13">
        <v>1.0</v>
      </c>
      <c r="U8" s="13">
        <v>0.5</v>
      </c>
      <c r="V8" s="13">
        <v>0.5</v>
      </c>
      <c r="W8" s="13">
        <v>0.4444444444444444</v>
      </c>
    </row>
    <row r="9">
      <c r="B9" s="39" t="s">
        <v>80</v>
      </c>
      <c r="C9" s="52">
        <f>VLOOKUP(A8,Summary!$A$45:$D$50,3,FALSE)</f>
        <v>24</v>
      </c>
      <c r="D9" s="52">
        <f>VLOOKUP(A8,Summary!$F$45:$I$50,3,FALSE)</f>
        <v>18</v>
      </c>
      <c r="E9" s="52" t="str">
        <f t="shared" si="1"/>
        <v>24 (18)</v>
      </c>
      <c r="F9" s="13">
        <f>VLOOKUP(A8,Summary!$A$4:$D$9,3,FALSE)</f>
        <v>0.75</v>
      </c>
      <c r="G9" s="13">
        <f>VLOOKUP($A8,Summary!$A$18:$D$23,3,FALSE)</f>
        <v>0.4444444444</v>
      </c>
      <c r="H9" s="13">
        <f>VLOOKUP($A8,Summary!$A$32:$D$37,3,FALSE)</f>
        <v>0.5581395349</v>
      </c>
      <c r="K9" s="39" t="s">
        <v>80</v>
      </c>
      <c r="L9" s="13">
        <v>0.08333333333333333</v>
      </c>
      <c r="M9" s="13">
        <v>0.0</v>
      </c>
      <c r="N9" s="13">
        <v>0.16666666666666666</v>
      </c>
      <c r="O9" s="13">
        <v>0.5</v>
      </c>
      <c r="P9" s="13">
        <v>0.25</v>
      </c>
      <c r="S9" s="39" t="s">
        <v>80</v>
      </c>
      <c r="T9" s="13">
        <v>1.0</v>
      </c>
      <c r="U9" s="13">
        <v>0.5</v>
      </c>
      <c r="V9" s="13">
        <v>0.5</v>
      </c>
      <c r="W9" s="13">
        <v>0.2222222222222222</v>
      </c>
    </row>
    <row r="10">
      <c r="B10" s="39" t="s">
        <v>81</v>
      </c>
      <c r="C10" s="52">
        <f>VLOOKUP(A8,Summary!$A$45:$D$50,4,FALSE)</f>
        <v>36</v>
      </c>
      <c r="D10" s="52">
        <f>VLOOKUP(A8,Summary!$F$45:$I$50,4,FALSE)</f>
        <v>24</v>
      </c>
      <c r="E10" s="52" t="str">
        <f t="shared" si="1"/>
        <v>36 (24)</v>
      </c>
      <c r="F10" s="13">
        <f>VLOOKUP(A8,Summary!$A$4:$D$9,4,FALSE)</f>
        <v>0.6666666667</v>
      </c>
      <c r="G10" s="13">
        <f>VLOOKUP($A8,Summary!$A$18:$D$23,4,FALSE)</f>
        <v>0.5</v>
      </c>
      <c r="H10" s="13">
        <f>VLOOKUP($A8,Summary!$A$32:$D$37,4,FALSE)</f>
        <v>0.5714285714</v>
      </c>
      <c r="K10" s="39" t="s">
        <v>81</v>
      </c>
      <c r="L10" s="13">
        <v>0.0</v>
      </c>
      <c r="M10" s="13">
        <v>0.08333333333333333</v>
      </c>
      <c r="N10" s="13">
        <v>0.25</v>
      </c>
      <c r="O10" s="13">
        <v>0.4722222222222222</v>
      </c>
      <c r="P10" s="13">
        <v>0.19444444444444445</v>
      </c>
      <c r="S10" s="39" t="s">
        <v>81</v>
      </c>
      <c r="T10" s="13">
        <v>1.0</v>
      </c>
      <c r="U10" s="13">
        <v>0.0</v>
      </c>
      <c r="V10" s="13">
        <v>0.25</v>
      </c>
      <c r="W10" s="13">
        <v>0.5555555555555556</v>
      </c>
    </row>
    <row r="11">
      <c r="A11" s="1" t="s">
        <v>19</v>
      </c>
      <c r="B11" s="39" t="s">
        <v>2</v>
      </c>
      <c r="C11" s="52">
        <f>VLOOKUP(A11,Summary!$A$45:$D$50,2,FALSE)</f>
        <v>29</v>
      </c>
      <c r="D11" s="52">
        <f>VLOOKUP(A11,Summary!$F$45:$I$50,2,FALSE)</f>
        <v>19</v>
      </c>
      <c r="E11" s="52" t="str">
        <f t="shared" si="1"/>
        <v>29 (19)</v>
      </c>
      <c r="F11" s="13">
        <f>VLOOKUP(A11,Summary!$A$4:$D$9,2,FALSE)</f>
        <v>0.6551724138</v>
      </c>
      <c r="G11" s="13">
        <f>VLOOKUP($A11,Summary!$A$18:$D$23,2,FALSE)</f>
        <v>0.5714285714</v>
      </c>
      <c r="H11" s="13">
        <f>VLOOKUP($A11,Summary!$A$32:$D$37,2,FALSE)</f>
        <v>0.6104417671</v>
      </c>
      <c r="J11" s="1" t="s">
        <v>19</v>
      </c>
      <c r="K11" s="39" t="s">
        <v>2</v>
      </c>
      <c r="L11" s="13">
        <v>0.034482758620689655</v>
      </c>
      <c r="M11" s="13">
        <v>0.20689655172413793</v>
      </c>
      <c r="N11" s="13">
        <v>0.10344827586206896</v>
      </c>
      <c r="O11" s="13">
        <v>0.3793103448275862</v>
      </c>
      <c r="P11" s="13">
        <v>0.27586206896551724</v>
      </c>
      <c r="R11" s="1" t="s">
        <v>19</v>
      </c>
      <c r="S11" s="39" t="s">
        <v>2</v>
      </c>
      <c r="T11" s="13">
        <v>1.0</v>
      </c>
      <c r="U11" s="13">
        <v>0.6666666666666666</v>
      </c>
      <c r="V11" s="13">
        <v>0.25</v>
      </c>
      <c r="W11" s="13">
        <v>0.5</v>
      </c>
    </row>
    <row r="12">
      <c r="B12" s="39" t="s">
        <v>80</v>
      </c>
      <c r="C12" s="52">
        <f>VLOOKUP(A11,Summary!$A$45:$D$50,3,FALSE)</f>
        <v>19</v>
      </c>
      <c r="D12" s="52">
        <f>VLOOKUP(A11,Summary!$F$45:$I$50,3,FALSE)</f>
        <v>13</v>
      </c>
      <c r="E12" s="52" t="str">
        <f t="shared" si="1"/>
        <v>19 (13)</v>
      </c>
      <c r="F12" s="13">
        <f>VLOOKUP(A11,Summary!$A$4:$D$9,3,FALSE)</f>
        <v>0.6842105263</v>
      </c>
      <c r="G12" s="13">
        <f>VLOOKUP($A11,Summary!$A$18:$D$23,3,FALSE)</f>
        <v>0.5</v>
      </c>
      <c r="H12" s="13">
        <f>VLOOKUP($A11,Summary!$A$32:$D$37,3,FALSE)</f>
        <v>0.5777777778</v>
      </c>
      <c r="K12" s="39" t="s">
        <v>80</v>
      </c>
      <c r="L12" s="13">
        <v>0.15789473684210525</v>
      </c>
      <c r="M12" s="13">
        <v>0.05263157894736842</v>
      </c>
      <c r="N12" s="13">
        <v>0.10526315789473684</v>
      </c>
      <c r="O12" s="13">
        <v>0.3157894736842105</v>
      </c>
      <c r="P12" s="13">
        <v>0.3684210526315789</v>
      </c>
      <c r="S12" s="39" t="s">
        <v>80</v>
      </c>
      <c r="T12" s="13">
        <v>1.0</v>
      </c>
      <c r="U12" s="13">
        <v>0.6666666666666666</v>
      </c>
      <c r="V12" s="13">
        <v>0.0</v>
      </c>
      <c r="W12" s="13">
        <v>0.5</v>
      </c>
    </row>
    <row r="13">
      <c r="B13" s="39" t="s">
        <v>81</v>
      </c>
      <c r="C13" s="52">
        <f>VLOOKUP(A11,Summary!$A$45:$D$50,4,FALSE)</f>
        <v>39</v>
      </c>
      <c r="D13" s="52">
        <f>VLOOKUP(A11,Summary!$F$45:$I$50,4,FALSE)</f>
        <v>30</v>
      </c>
      <c r="E13" s="52" t="str">
        <f t="shared" si="1"/>
        <v>39 (30)</v>
      </c>
      <c r="F13" s="13">
        <f>VLOOKUP(A11,Summary!$A$4:$D$9,4,FALSE)</f>
        <v>0.7692307692</v>
      </c>
      <c r="G13" s="13">
        <f>VLOOKUP($A11,Summary!$A$18:$D$23,4,FALSE)</f>
        <v>0.5714285714</v>
      </c>
      <c r="H13" s="13">
        <f>VLOOKUP($A11,Summary!$A$32:$D$37,4,FALSE)</f>
        <v>0.6557377049</v>
      </c>
      <c r="K13" s="39" t="s">
        <v>81</v>
      </c>
      <c r="L13" s="13">
        <v>0.02564102564102564</v>
      </c>
      <c r="M13" s="13">
        <v>0.07692307692307693</v>
      </c>
      <c r="N13" s="13">
        <v>0.1282051282051282</v>
      </c>
      <c r="O13" s="13">
        <v>0.5641025641025641</v>
      </c>
      <c r="P13" s="13">
        <v>0.20512820512820512</v>
      </c>
      <c r="S13" s="39" t="s">
        <v>81</v>
      </c>
      <c r="T13" s="13">
        <v>0.6666666666666666</v>
      </c>
      <c r="U13" s="13">
        <v>0.6666666666666666</v>
      </c>
      <c r="V13" s="13">
        <v>0.5</v>
      </c>
      <c r="W13" s="13">
        <v>0.5</v>
      </c>
    </row>
    <row r="14">
      <c r="A14" s="51" t="s">
        <v>35</v>
      </c>
      <c r="B14" s="39" t="s">
        <v>2</v>
      </c>
      <c r="C14" s="52">
        <f>VLOOKUP(A14,Summary!$A$45:$D$50,2,FALSE)</f>
        <v>32</v>
      </c>
      <c r="D14" s="52">
        <f>VLOOKUP(A14,Summary!$F$45:$I$50,2,FALSE)</f>
        <v>14</v>
      </c>
      <c r="E14" s="52" t="str">
        <f t="shared" si="1"/>
        <v>32 (14)</v>
      </c>
      <c r="F14" s="13">
        <f>VLOOKUP(A14,Summary!$A$4:$D$9,2,FALSE)</f>
        <v>0.4375</v>
      </c>
      <c r="G14" s="13">
        <f>VLOOKUP($A14,Summary!$A$18:$D$23,2,FALSE)</f>
        <v>0.5625</v>
      </c>
      <c r="H14" s="13">
        <f>VLOOKUP($A14,Summary!$A$32:$D$37,2,FALSE)</f>
        <v>0.4921875</v>
      </c>
      <c r="J14" s="51" t="s">
        <v>35</v>
      </c>
      <c r="K14" s="39" t="s">
        <v>2</v>
      </c>
      <c r="L14" s="13">
        <v>0.125</v>
      </c>
      <c r="M14" s="13">
        <v>0.15625</v>
      </c>
      <c r="N14" s="13">
        <v>0.28125</v>
      </c>
      <c r="O14" s="13">
        <v>0.1875</v>
      </c>
      <c r="P14" s="13">
        <v>0.25</v>
      </c>
      <c r="R14" s="51" t="s">
        <v>35</v>
      </c>
      <c r="S14" s="39" t="s">
        <v>2</v>
      </c>
      <c r="T14" s="13">
        <v>1.0</v>
      </c>
      <c r="U14" s="13">
        <v>0.0</v>
      </c>
      <c r="V14" s="13">
        <v>0.25</v>
      </c>
      <c r="W14" s="13">
        <v>0.6</v>
      </c>
    </row>
    <row r="15">
      <c r="B15" s="39" t="s">
        <v>80</v>
      </c>
      <c r="C15" s="52">
        <f>VLOOKUP(A14,Summary!$A$45:$D$50,3,FALSE)</f>
        <v>20</v>
      </c>
      <c r="D15" s="52">
        <f>VLOOKUP(A14,Summary!$F$45:$I$50,3,FALSE)</f>
        <v>10</v>
      </c>
      <c r="E15" s="52" t="str">
        <f t="shared" si="1"/>
        <v>20 (10)</v>
      </c>
      <c r="F15" s="13">
        <f>VLOOKUP(A14,Summary!$A$4:$D$9,3,FALSE)</f>
        <v>0.5</v>
      </c>
      <c r="G15" s="13">
        <f>VLOOKUP($A14,Summary!$A$18:$D$23,3,FALSE)</f>
        <v>0.125</v>
      </c>
      <c r="H15" s="13">
        <f>VLOOKUP($A14,Summary!$A$32:$D$37,3,FALSE)</f>
        <v>0.2</v>
      </c>
      <c r="K15" s="39" t="s">
        <v>80</v>
      </c>
      <c r="L15" s="13">
        <v>0.25</v>
      </c>
      <c r="M15" s="13">
        <v>0.0</v>
      </c>
      <c r="N15" s="13">
        <v>0.25</v>
      </c>
      <c r="O15" s="13">
        <v>0.4</v>
      </c>
      <c r="P15" s="13">
        <v>0.1</v>
      </c>
      <c r="S15" s="39" t="s">
        <v>80</v>
      </c>
      <c r="T15" s="13">
        <v>1.0</v>
      </c>
      <c r="U15" s="13">
        <v>0.0</v>
      </c>
      <c r="V15" s="13">
        <v>0.0</v>
      </c>
      <c r="W15" s="13">
        <v>0.0</v>
      </c>
    </row>
    <row r="16">
      <c r="B16" s="39" t="s">
        <v>81</v>
      </c>
      <c r="C16" s="52">
        <f>VLOOKUP(A14,Summary!$A$45:$D$50,4,FALSE)</f>
        <v>24</v>
      </c>
      <c r="D16" s="52">
        <f>VLOOKUP(A14,Summary!$F$45:$I$50,4,FALSE)</f>
        <v>17</v>
      </c>
      <c r="E16" s="52" t="str">
        <f t="shared" si="1"/>
        <v>24 (17)</v>
      </c>
      <c r="F16" s="13">
        <f>VLOOKUP(A14,Summary!$A$4:$D$9,4,FALSE)</f>
        <v>0.7083333333</v>
      </c>
      <c r="G16" s="13">
        <f>VLOOKUP($A14,Summary!$A$18:$D$23,4,FALSE)</f>
        <v>0.625</v>
      </c>
      <c r="H16" s="13">
        <f>VLOOKUP($A14,Summary!$A$32:$D$37,4,FALSE)</f>
        <v>0.6640625</v>
      </c>
      <c r="K16" s="39" t="s">
        <v>81</v>
      </c>
      <c r="L16" s="13">
        <v>0.08333333333333333</v>
      </c>
      <c r="M16" s="13">
        <v>0.041666666666666664</v>
      </c>
      <c r="N16" s="13">
        <v>0.16666666666666666</v>
      </c>
      <c r="O16" s="13">
        <v>0.4166666666666667</v>
      </c>
      <c r="P16" s="13">
        <v>0.2916666666666667</v>
      </c>
      <c r="S16" s="39" t="s">
        <v>81</v>
      </c>
      <c r="T16" s="13">
        <v>1.0</v>
      </c>
      <c r="U16" s="13">
        <v>0.0</v>
      </c>
      <c r="V16" s="13">
        <v>0.5</v>
      </c>
      <c r="W16" s="13">
        <v>0.6</v>
      </c>
    </row>
    <row r="17">
      <c r="A17" s="51" t="s">
        <v>39</v>
      </c>
      <c r="B17" s="39" t="s">
        <v>2</v>
      </c>
      <c r="C17" s="52">
        <f>VLOOKUP(A17,Summary!$A$45:$D$50,2,FALSE)</f>
        <v>43</v>
      </c>
      <c r="D17" s="52">
        <f>VLOOKUP(A17,Summary!$F$45:$I$50,2,FALSE)</f>
        <v>18</v>
      </c>
      <c r="E17" s="52" t="str">
        <f t="shared" si="1"/>
        <v>43 (18)</v>
      </c>
      <c r="F17" s="13">
        <f>VLOOKUP(A17,Summary!$A$4:$D$9,2,FALSE)</f>
        <v>0.4186046512</v>
      </c>
      <c r="G17" s="13">
        <f>VLOOKUP($A17,Summary!$A$18:$D$23,2,FALSE)</f>
        <v>0.6</v>
      </c>
      <c r="H17" s="13">
        <f>VLOOKUP($A17,Summary!$A$32:$D$37,2,FALSE)</f>
        <v>0.4931506849</v>
      </c>
      <c r="J17" s="51" t="s">
        <v>39</v>
      </c>
      <c r="K17" s="39" t="s">
        <v>2</v>
      </c>
      <c r="L17" s="13">
        <v>0.046511627906976744</v>
      </c>
      <c r="M17" s="13">
        <v>0.27906976744186046</v>
      </c>
      <c r="N17" s="13">
        <v>0.2558139534883721</v>
      </c>
      <c r="O17" s="13">
        <v>0.23255813953488372</v>
      </c>
      <c r="P17" s="13">
        <v>0.18604651162790697</v>
      </c>
      <c r="R17" s="51" t="s">
        <v>39</v>
      </c>
      <c r="S17" s="39" t="s">
        <v>2</v>
      </c>
      <c r="T17" s="13">
        <v>1.0</v>
      </c>
      <c r="U17" s="13">
        <v>0.5</v>
      </c>
      <c r="V17" s="13">
        <v>0.25</v>
      </c>
      <c r="W17" s="13">
        <v>0.7142857142857143</v>
      </c>
    </row>
    <row r="18">
      <c r="B18" s="39" t="s">
        <v>80</v>
      </c>
      <c r="C18" s="52">
        <f>VLOOKUP(A17,Summary!$A$45:$D$50,3,FALSE)</f>
        <v>24</v>
      </c>
      <c r="D18" s="52">
        <f>VLOOKUP(A17,Summary!$F$45:$I$50,3,FALSE)</f>
        <v>17</v>
      </c>
      <c r="E18" s="52" t="str">
        <f t="shared" si="1"/>
        <v>24 (17)</v>
      </c>
      <c r="F18" s="13">
        <f>VLOOKUP(A17,Summary!$A$4:$D$9,3,FALSE)</f>
        <v>0.7083333333</v>
      </c>
      <c r="G18" s="13">
        <f>VLOOKUP($A17,Summary!$A$18:$D$23,3,FALSE)</f>
        <v>0.4666666667</v>
      </c>
      <c r="H18" s="13">
        <f>VLOOKUP($A17,Summary!$A$32:$D$37,3,FALSE)</f>
        <v>0.5626477541</v>
      </c>
      <c r="K18" s="39" t="s">
        <v>80</v>
      </c>
      <c r="L18" s="13">
        <v>0.041666666666666664</v>
      </c>
      <c r="M18" s="13">
        <v>0.125</v>
      </c>
      <c r="N18" s="13">
        <v>0.125</v>
      </c>
      <c r="O18" s="13">
        <v>0.4583333333333333</v>
      </c>
      <c r="P18" s="13">
        <v>0.25</v>
      </c>
      <c r="S18" s="39" t="s">
        <v>80</v>
      </c>
      <c r="T18" s="13">
        <v>1.0</v>
      </c>
      <c r="U18" s="13">
        <v>0.5</v>
      </c>
      <c r="V18" s="13">
        <v>0.0</v>
      </c>
      <c r="W18" s="13">
        <v>0.5714285714285714</v>
      </c>
    </row>
    <row r="19">
      <c r="B19" s="39" t="s">
        <v>81</v>
      </c>
      <c r="C19" s="52">
        <f>VLOOKUP(A17,Summary!$A$45:$D$50,4,FALSE)</f>
        <v>37</v>
      </c>
      <c r="D19" s="52">
        <f>VLOOKUP(A17,Summary!$F$45:$I$50,4,FALSE)</f>
        <v>25</v>
      </c>
      <c r="E19" s="52" t="str">
        <f t="shared" si="1"/>
        <v>37 (25)</v>
      </c>
      <c r="F19" s="13">
        <f>VLOOKUP(A17,Summary!$A$4:$D$9,4,FALSE)</f>
        <v>0.6756756757</v>
      </c>
      <c r="G19" s="13">
        <f>VLOOKUP($A17,Summary!$A$18:$D$23,4,FALSE)</f>
        <v>0.6</v>
      </c>
      <c r="H19" s="13">
        <f>VLOOKUP($A17,Summary!$A$32:$D$37,4,FALSE)</f>
        <v>0.6355932203</v>
      </c>
      <c r="K19" s="39" t="s">
        <v>81</v>
      </c>
      <c r="L19" s="13">
        <v>0.05405405405405406</v>
      </c>
      <c r="M19" s="13">
        <v>0.10810810810810811</v>
      </c>
      <c r="N19" s="13">
        <v>0.16216216216216217</v>
      </c>
      <c r="O19" s="13">
        <v>0.43243243243243246</v>
      </c>
      <c r="P19" s="13">
        <v>0.24324324324324326</v>
      </c>
      <c r="S19" s="39" t="s">
        <v>81</v>
      </c>
      <c r="T19" s="13">
        <v>1.0</v>
      </c>
      <c r="U19" s="13">
        <v>0.5</v>
      </c>
      <c r="V19" s="13">
        <v>0.5</v>
      </c>
      <c r="W19" s="13">
        <v>0.5714285714285714</v>
      </c>
    </row>
    <row r="20">
      <c r="A20" s="1" t="s">
        <v>82</v>
      </c>
      <c r="B20" s="39" t="s">
        <v>81</v>
      </c>
      <c r="C20" s="52">
        <f>VLOOKUP(A20,'Summary (micro)'!$A$29:$C$31,2,FALSE)</f>
        <v>21</v>
      </c>
      <c r="D20" s="40">
        <f>VLOOKUP(A20,'Summary (micro)'!$A$29:$C$31,3,FALSE)</f>
        <v>13</v>
      </c>
      <c r="E20" s="52" t="str">
        <f t="shared" si="1"/>
        <v>21 (13)</v>
      </c>
      <c r="F20" s="13">
        <f>VLOOKUP($A20,'Summary (micro)'!$A$4:$B$6,2,FALSE)</f>
        <v>0.619047619</v>
      </c>
      <c r="G20" s="13">
        <f>VLOOKUP($A20,'Summary (micro)'!$A$13:$B$15,2,FALSE)</f>
        <v>0.4583333333</v>
      </c>
      <c r="H20" s="13">
        <f>VLOOKUP($A20,'Summary (micro)'!$A$22:$B$24,2,FALSE)</f>
        <v>0.5267034991</v>
      </c>
      <c r="J20" s="1" t="s">
        <v>82</v>
      </c>
      <c r="K20" s="39" t="s">
        <v>81</v>
      </c>
      <c r="L20" s="13">
        <v>0.047619047619047616</v>
      </c>
      <c r="M20" s="13">
        <v>0.2857142857142857</v>
      </c>
      <c r="N20" s="13">
        <v>0.047619047619047616</v>
      </c>
      <c r="O20" s="13">
        <v>0.19047619047619047</v>
      </c>
      <c r="P20" s="13">
        <v>0.42857142857142855</v>
      </c>
      <c r="R20" s="1" t="s">
        <v>82</v>
      </c>
      <c r="S20" s="39" t="s">
        <v>81</v>
      </c>
      <c r="T20" s="13">
        <v>0.8</v>
      </c>
      <c r="U20" s="13">
        <v>0.0</v>
      </c>
      <c r="V20" s="13">
        <v>0.75</v>
      </c>
      <c r="W20" s="13">
        <v>0.4</v>
      </c>
    </row>
    <row r="21">
      <c r="A21" s="1" t="s">
        <v>83</v>
      </c>
      <c r="B21" s="39" t="s">
        <v>81</v>
      </c>
      <c r="C21" s="52">
        <f>VLOOKUP(A21,'Summary (micro)'!$A$29:$C$31,2,FALSE)</f>
        <v>32</v>
      </c>
      <c r="D21" s="40">
        <f>VLOOKUP(A21,'Summary (micro)'!$A$29:$C$31,3,FALSE)</f>
        <v>14</v>
      </c>
      <c r="E21" s="52" t="str">
        <f t="shared" si="1"/>
        <v>32 (14)</v>
      </c>
      <c r="F21" s="13">
        <f>VLOOKUP($A21,'Summary (micro)'!$A$4:$B$6,2,FALSE)</f>
        <v>0.4375</v>
      </c>
      <c r="G21" s="13">
        <f>VLOOKUP($A21,'Summary (micro)'!$A$13:$B$15,2,FALSE)</f>
        <v>0.375</v>
      </c>
      <c r="H21" s="13">
        <f>VLOOKUP($A21,'Summary (micro)'!$A$22:$B$24,2,FALSE)</f>
        <v>0.4038461538</v>
      </c>
      <c r="J21" s="1" t="s">
        <v>83</v>
      </c>
      <c r="K21" s="39" t="s">
        <v>81</v>
      </c>
      <c r="L21" s="13">
        <v>0.28125</v>
      </c>
      <c r="M21" s="13">
        <v>0.03125</v>
      </c>
      <c r="N21" s="13">
        <v>0.25</v>
      </c>
      <c r="O21" s="13">
        <v>0.25</v>
      </c>
      <c r="P21" s="13">
        <v>0.1875</v>
      </c>
      <c r="R21" s="1" t="s">
        <v>83</v>
      </c>
      <c r="S21" s="39" t="s">
        <v>81</v>
      </c>
      <c r="T21" s="13">
        <v>1.0</v>
      </c>
      <c r="U21" s="13">
        <v>0.0</v>
      </c>
      <c r="V21" s="13">
        <v>1.0</v>
      </c>
      <c r="W21" s="13">
        <v>0.125</v>
      </c>
    </row>
    <row r="22">
      <c r="A22" s="1" t="s">
        <v>84</v>
      </c>
      <c r="B22" s="39" t="s">
        <v>81</v>
      </c>
      <c r="C22" s="52">
        <f>VLOOKUP(A22,'Summary (micro)'!$A$29:$C$31,2,FALSE)</f>
        <v>29</v>
      </c>
      <c r="D22" s="40">
        <f>VLOOKUP(A22,'Summary (micro)'!$A$29:$C$31,3,FALSE)</f>
        <v>21</v>
      </c>
      <c r="E22" s="52" t="str">
        <f t="shared" si="1"/>
        <v>29 (21)</v>
      </c>
      <c r="F22" s="13">
        <f>VLOOKUP($A22,'Summary (micro)'!$A$4:$B$6,2,FALSE)</f>
        <v>0.724137931</v>
      </c>
      <c r="G22" s="13">
        <f>VLOOKUP($A22,'Summary (micro)'!$A$13:$B$15,2,FALSE)</f>
        <v>0.5769230769</v>
      </c>
      <c r="H22" s="13">
        <f>VLOOKUP($A22,'Summary (micro)'!$A$22:$B$24,2,FALSE)</f>
        <v>0.6422018349</v>
      </c>
      <c r="J22" s="1" t="s">
        <v>84</v>
      </c>
      <c r="K22" s="39" t="s">
        <v>81</v>
      </c>
      <c r="L22" s="13">
        <v>0.06896551724137931</v>
      </c>
      <c r="M22" s="13">
        <v>0.06896551724137931</v>
      </c>
      <c r="N22" s="13">
        <v>0.13793103448275862</v>
      </c>
      <c r="O22" s="13">
        <v>0.2413793103448276</v>
      </c>
      <c r="P22" s="13">
        <v>0.4827586206896552</v>
      </c>
      <c r="R22" s="1" t="s">
        <v>84</v>
      </c>
      <c r="S22" s="39" t="s">
        <v>81</v>
      </c>
      <c r="T22" s="13">
        <v>1.0</v>
      </c>
      <c r="U22" s="13">
        <v>0.4444444444444444</v>
      </c>
      <c r="V22" s="13">
        <v>1.0</v>
      </c>
      <c r="W22" s="13">
        <v>0.3333333333333333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4" max="4" width="17.0"/>
    <col customWidth="1" min="7" max="7" width="10.0"/>
    <col customWidth="1" min="8" max="8" width="8.0"/>
  </cols>
  <sheetData>
    <row r="1">
      <c r="A1" s="1"/>
      <c r="B1" s="2"/>
      <c r="C1" s="3"/>
      <c r="D1" s="4"/>
      <c r="E1" s="5"/>
      <c r="F1" s="6"/>
      <c r="G1" s="6"/>
      <c r="H1" s="6"/>
      <c r="I1" s="6"/>
      <c r="O1" s="4" t="s">
        <v>0</v>
      </c>
      <c r="U1" s="6"/>
      <c r="V1" s="6"/>
      <c r="W1" s="7"/>
      <c r="X1" s="6"/>
      <c r="Y1" s="6"/>
      <c r="Z1" s="5"/>
      <c r="AA1" s="4" t="s">
        <v>1</v>
      </c>
    </row>
    <row r="2">
      <c r="A2" s="1"/>
      <c r="B2" s="2" t="s">
        <v>4</v>
      </c>
      <c r="C2" s="3"/>
      <c r="D2" s="4" t="s">
        <v>5</v>
      </c>
      <c r="E2" s="5"/>
      <c r="F2" s="6" t="str">
        <f t="array" ref="F2:I2">TRANSPOSE(INDEX(INDIRECT(INDEX(D4,0) &amp; "!$A$14:$A$17"),0))</f>
        <v>Goal</v>
      </c>
      <c r="G2" s="6" t="s">
        <v>6</v>
      </c>
      <c r="H2" s="6" t="s">
        <v>7</v>
      </c>
      <c r="I2" s="6" t="s">
        <v>8</v>
      </c>
      <c r="J2" s="1" t="s">
        <v>9</v>
      </c>
      <c r="K2" s="1" t="s">
        <v>10</v>
      </c>
      <c r="L2" s="1" t="s">
        <v>11</v>
      </c>
      <c r="M2" s="1" t="s">
        <v>12</v>
      </c>
      <c r="N2" s="8"/>
      <c r="O2" s="6" t="str">
        <f t="array" ref="O2:R2">TRANSPOSE(INDEX(INDIRECT(INDEX(D4,0) &amp; "!$A$14:$A$17"),0))</f>
        <v>Goal</v>
      </c>
      <c r="P2" s="6" t="s">
        <v>6</v>
      </c>
      <c r="Q2" s="6" t="s">
        <v>7</v>
      </c>
      <c r="R2" s="6" t="s">
        <v>8</v>
      </c>
      <c r="S2" s="1" t="s">
        <v>13</v>
      </c>
      <c r="U2" s="6" t="str">
        <f t="array" ref="U2:Y2">TRANSPOSE(INDEX(INDIRECT(INDEX(D4,0) &amp; "!$A$2:$A$6"),0))</f>
        <v>Redundant</v>
      </c>
      <c r="V2" s="6" t="s">
        <v>14</v>
      </c>
      <c r="W2" s="7" t="s">
        <v>15</v>
      </c>
      <c r="X2" s="6" t="s">
        <v>16</v>
      </c>
      <c r="Y2" s="6" t="s">
        <v>17</v>
      </c>
      <c r="Z2" s="5"/>
      <c r="AA2" s="6" t="str">
        <f t="array" ref="AA2:AE2">TRANSPOSE(INDEX(INDIRECT(INDEX(D4,0) &amp; "!$A$2:$A$6"),0))</f>
        <v>Redundant</v>
      </c>
      <c r="AB2" s="6" t="s">
        <v>14</v>
      </c>
      <c r="AC2" s="7" t="s">
        <v>15</v>
      </c>
      <c r="AD2" s="6" t="s">
        <v>16</v>
      </c>
      <c r="AE2" s="6" t="s">
        <v>17</v>
      </c>
      <c r="AF2" s="1" t="s">
        <v>13</v>
      </c>
    </row>
    <row r="3">
      <c r="A3" s="1"/>
      <c r="B3" s="4" t="s">
        <v>18</v>
      </c>
      <c r="D3" s="1" t="s">
        <v>4</v>
      </c>
      <c r="E3" s="2" t="s">
        <v>85</v>
      </c>
      <c r="F3" s="4" t="s">
        <v>4</v>
      </c>
      <c r="O3" s="4" t="s">
        <v>4</v>
      </c>
      <c r="U3" s="4" t="s">
        <v>4</v>
      </c>
      <c r="AA3" s="4" t="s">
        <v>4</v>
      </c>
    </row>
    <row r="4">
      <c r="A4" s="1" t="s">
        <v>83</v>
      </c>
      <c r="B4" s="9">
        <f t="array" ref="B4">INDEX(INDIRECT(INDEX($D$4,0) &amp; "!$D$8"),0)</f>
        <v>0.4375</v>
      </c>
      <c r="C4" s="10"/>
      <c r="D4" s="11" t="s">
        <v>86</v>
      </c>
      <c r="E4" s="53">
        <v>2774.0</v>
      </c>
      <c r="F4" s="9">
        <f t="array" ref="F4">INDEX(INDIRECT(INDEX($D$4,0) &amp; "!$D$14"),0)</f>
        <v>1</v>
      </c>
      <c r="G4" s="9">
        <f t="array" ref="G4">INDEX(INDIRECT(INDEX($D$4,0) &amp; "!$D$15"),0)</f>
        <v>0</v>
      </c>
      <c r="H4" s="9">
        <f t="array" ref="H4">INDEX(INDIRECT(INDEX($D$4,0) &amp; "!$D$16"),0)</f>
        <v>1</v>
      </c>
      <c r="I4" s="9">
        <f t="array" ref="I4">INDEX(INDIRECT(INDEX($D$4,0) &amp; "!$D$17"),0)</f>
        <v>0.125</v>
      </c>
      <c r="J4" s="12">
        <f t="array" ref="J4">SUM(F4:I4*O4:R4)/S4</f>
        <v>0.375</v>
      </c>
      <c r="K4" s="13">
        <f t="array" ref="K4">SUM(F4:H4*O4:Q4)/SUM(O4:Q4)</f>
        <v>0.625</v>
      </c>
      <c r="L4" s="13">
        <f t="shared" ref="L4:L6" si="1">(F4*O4+G4*P4+I4*R4)/(O4+P4+R4)</f>
        <v>0.1666666667</v>
      </c>
      <c r="M4" s="13">
        <f t="array" ref="M4">SUM(F4:G4*O4:P4)/SUM(O4:P4)</f>
        <v>0.25</v>
      </c>
      <c r="O4" s="14">
        <f t="array" ref="O4">INDEX(INDIRECT(INDEX($D$4,0) &amp; "!$C$14"),0)</f>
        <v>1</v>
      </c>
      <c r="P4" s="14">
        <f t="array" ref="P4">INDEX(INDIRECT(INDEX($D$4,0) &amp; "!$C$15"),0)</f>
        <v>3</v>
      </c>
      <c r="Q4" s="14">
        <f t="array" ref="Q4">INDEX(INDIRECT(INDEX($D$4,0) &amp; "!$C$16"),0)</f>
        <v>4</v>
      </c>
      <c r="R4" s="14">
        <f t="array" ref="R4">INDEX(INDIRECT(INDEX($D$4,0) &amp; "!$C$17"),0)</f>
        <v>8</v>
      </c>
      <c r="S4" s="15">
        <f t="shared" ref="S4:S7" si="2">SUM(O4:R4)</f>
        <v>16</v>
      </c>
      <c r="U4" s="9">
        <f t="array" ref="U4">INDEX(INDIRECT(INDEX($D$4,0) &amp; "!$D$2"),0)</f>
        <v>0.28125</v>
      </c>
      <c r="V4" s="9">
        <f t="array" ref="V4">INDEX(INDIRECT(INDEX($D$4,0) &amp; "!$D$3"),0)</f>
        <v>0.03125</v>
      </c>
      <c r="W4" s="9">
        <f t="array" ref="W4">INDEX(INDIRECT(INDEX($D$4,0) &amp; "!$D$4"),0)</f>
        <v>0.25</v>
      </c>
      <c r="X4" s="9">
        <f t="array" ref="X4">INDEX(INDIRECT(INDEX($D$4,0) &amp; "!$D$5"),0)</f>
        <v>0.1875</v>
      </c>
      <c r="Y4" s="9">
        <f t="array" ref="Y4">INDEX(INDIRECT(INDEX($D$4,0) &amp; "!$D$6"),0)</f>
        <v>0.25</v>
      </c>
      <c r="AA4" s="3">
        <f t="array" ref="AA4">INDEX(INDIRECT(INDEX($D$4,0) &amp; "!$C$2"),0)</f>
        <v>9</v>
      </c>
      <c r="AB4" s="3">
        <f t="array" ref="AB4">INDEX(INDIRECT(INDEX($D$4,0) &amp; "!$C$3"),0)</f>
        <v>1</v>
      </c>
      <c r="AC4" s="3">
        <f t="array" ref="AC4">INDEX(INDIRECT(INDEX($D$4,0) &amp; "!$C$4"),0)</f>
        <v>8</v>
      </c>
      <c r="AD4" s="3">
        <f t="array" ref="AD4">INDEX(INDIRECT(INDEX($D$4,0) &amp; "!$C$5"),0)</f>
        <v>6</v>
      </c>
      <c r="AE4" s="3">
        <f t="array" ref="AE4">INDEX(INDIRECT(INDEX($D$4,0) &amp; "!$C$6"),0)</f>
        <v>8</v>
      </c>
      <c r="AF4" s="16">
        <f t="shared" ref="AF4:AF7" si="3">SUM(AA4:AE4)</f>
        <v>32</v>
      </c>
    </row>
    <row r="5">
      <c r="A5" s="1" t="s">
        <v>84</v>
      </c>
      <c r="B5" s="9">
        <f t="array" ref="B5">INDEX(INDIRECT(INDEX($D$5,0) &amp; "!$D$8"),0)</f>
        <v>0.724137931</v>
      </c>
      <c r="D5" s="11" t="s">
        <v>87</v>
      </c>
      <c r="E5" s="53">
        <v>7994.0</v>
      </c>
      <c r="F5" s="9">
        <f t="array" ref="F5">INDEX(INDIRECT(INDEX($D$5,0) &amp; "!$D$14"),0)</f>
        <v>1</v>
      </c>
      <c r="G5" s="9">
        <f t="array" ref="G5">INDEX(INDIRECT(INDEX($D$5,0) &amp; "!$D$15"),0)</f>
        <v>0.4444444444</v>
      </c>
      <c r="H5" s="9">
        <f t="array" ref="H5">INDEX(INDIRECT(INDEX($D$5,0) &amp; "!$D$16"),0)</f>
        <v>1</v>
      </c>
      <c r="I5" s="9">
        <f t="array" ref="I5">INDEX(INDIRECT(INDEX($D$5,0) &amp; "!$D$17"),0)</f>
        <v>0.3333333333</v>
      </c>
      <c r="J5" s="12">
        <f t="array" ref="J5">SUM(F5:I5*O5:R5)/S5</f>
        <v>0.5769230769</v>
      </c>
      <c r="K5" s="13">
        <f t="array" ref="K5">SUM(F5:H5*O5:Q5)/SUM(O5:Q5)</f>
        <v>0.7058823529</v>
      </c>
      <c r="L5" s="13">
        <f t="shared" si="1"/>
        <v>0.5</v>
      </c>
      <c r="M5" s="13">
        <f t="array" ref="M5">SUM(F5:G5*O5:P5)/SUM(O5:P5)</f>
        <v>0.6153846154</v>
      </c>
      <c r="O5" s="14">
        <f t="array" ref="O5">INDEX(INDIRECT(INDEX($D$5,0) &amp; "!$C$14"),0)</f>
        <v>4</v>
      </c>
      <c r="P5" s="14">
        <f t="array" ref="P5">INDEX(INDIRECT(INDEX($D$5,0) &amp; "!$C$15"),0)</f>
        <v>9</v>
      </c>
      <c r="Q5" s="14">
        <f t="array" ref="Q5">INDEX(INDIRECT(INDEX($D$5,0) &amp; "!$C$16"),0)</f>
        <v>4</v>
      </c>
      <c r="R5" s="14">
        <f t="array" ref="R5">INDEX(INDIRECT(INDEX($D$5,0) &amp; "!$C$17"),0)</f>
        <v>9</v>
      </c>
      <c r="S5" s="15">
        <f t="shared" si="2"/>
        <v>26</v>
      </c>
      <c r="U5" s="9">
        <f t="array" ref="U5">INDEX(INDIRECT(INDEX($D$5,0) &amp; "!$D$2"),0)</f>
        <v>0.06896551724</v>
      </c>
      <c r="V5" s="9">
        <f t="array" ref="V5">INDEX(INDIRECT(INDEX($D$5,0) &amp; "!$D$3"),0)</f>
        <v>0.06896551724</v>
      </c>
      <c r="W5" s="9">
        <f t="array" ref="W5">INDEX(INDIRECT(INDEX($D$5,0) &amp; "!$D$4"),0)</f>
        <v>0.1379310345</v>
      </c>
      <c r="X5" s="9">
        <f t="array" ref="X5">INDEX(INDIRECT(INDEX($D$5,0) &amp; "!$D$5"),0)</f>
        <v>0.4827586207</v>
      </c>
      <c r="Y5" s="9">
        <f t="array" ref="Y5">INDEX(INDIRECT(INDEX($D$5,0) &amp; "!$D$6"),0)</f>
        <v>0.2413793103</v>
      </c>
      <c r="AA5" s="3">
        <f t="array" ref="AA5">INDEX(INDIRECT(INDEX($D$5,0) &amp; "!$C$2"),0)</f>
        <v>2</v>
      </c>
      <c r="AB5" s="3">
        <f t="array" ref="AB5">INDEX(INDIRECT(INDEX($D$5,0) &amp; "!$C$3"),0)</f>
        <v>2</v>
      </c>
      <c r="AC5" s="3">
        <f t="array" ref="AC5">INDEX(INDIRECT(INDEX($D$5,0) &amp; "!$C$4"),0)</f>
        <v>4</v>
      </c>
      <c r="AD5" s="3">
        <f t="array" ref="AD5">INDEX(INDIRECT(INDEX($D$5,0) &amp; "!$C$5"),0)</f>
        <v>14</v>
      </c>
      <c r="AE5" s="3">
        <f t="array" ref="AE5">INDEX(INDIRECT(INDEX($D$5,0) &amp; "!$C$6"),0)</f>
        <v>7</v>
      </c>
      <c r="AF5" s="16">
        <f t="shared" si="3"/>
        <v>29</v>
      </c>
    </row>
    <row r="6">
      <c r="A6" s="1" t="s">
        <v>82</v>
      </c>
      <c r="B6" s="9">
        <f t="array" ref="B6">INDEX(INDIRECT(INDEX($D$6,0) &amp; "!$D$8"),0)</f>
        <v>0.619047619</v>
      </c>
      <c r="D6" s="11" t="s">
        <v>88</v>
      </c>
      <c r="E6" s="53">
        <v>10163.0</v>
      </c>
      <c r="F6" s="9">
        <f t="array" ref="F6">INDEX(INDIRECT(INDEX($D$6,0) &amp; "!$D$14"),0)</f>
        <v>0.8</v>
      </c>
      <c r="G6" s="9">
        <f t="array" ref="G6">INDEX(INDIRECT(INDEX($D$6,0) &amp; "!$D$15"),0)</f>
        <v>0</v>
      </c>
      <c r="H6" s="9">
        <f t="array" ref="H6">INDEX(INDIRECT(INDEX($D$6,0) &amp; "!$D$16"),0)</f>
        <v>0.75</v>
      </c>
      <c r="I6" s="9">
        <f t="array" ref="I6">INDEX(INDIRECT(INDEX($D$6,0) &amp; "!$D$17"),0)</f>
        <v>0.4</v>
      </c>
      <c r="J6" s="12">
        <f t="array" ref="J6">SUM(F6:I6*O6:R6)/S6</f>
        <v>0.4583333333</v>
      </c>
      <c r="K6" s="13">
        <f t="array" ref="K6">SUM(F6:H6*O6:Q6)/SUM(O6:Q6)</f>
        <v>0.5</v>
      </c>
      <c r="L6" s="13">
        <f t="shared" si="1"/>
        <v>0.4</v>
      </c>
      <c r="M6" s="13">
        <f t="array" ref="M6">SUM(F6:G6*O6:P6)/SUM(O6:P6)</f>
        <v>0.4</v>
      </c>
      <c r="O6" s="14">
        <f t="array" ref="O6">INDEX(INDIRECT(INDEX($D$6,0) &amp; "!$C$14"),0)</f>
        <v>5</v>
      </c>
      <c r="P6" s="14">
        <f t="array" ref="P6">INDEX(INDIRECT(INDEX($D$6,0) &amp; "!$C$15"),0)</f>
        <v>5</v>
      </c>
      <c r="Q6" s="14">
        <f t="array" ref="Q6">INDEX(INDIRECT(INDEX($D$6,0) &amp; "!$C$16"),0)</f>
        <v>4</v>
      </c>
      <c r="R6" s="14">
        <f t="array" ref="R6">INDEX(INDIRECT(INDEX($D$6,0) &amp; "!$C$17"),0)</f>
        <v>10</v>
      </c>
      <c r="S6" s="15">
        <f t="shared" si="2"/>
        <v>24</v>
      </c>
      <c r="U6" s="9">
        <f t="array" ref="U6">INDEX(INDIRECT(INDEX($D$6,0) &amp; "!$D$2"),0)</f>
        <v>0.04761904762</v>
      </c>
      <c r="V6" s="9">
        <f t="array" ref="V6">INDEX(INDIRECT(INDEX($D$6,0) &amp; "!$D$3"),0)</f>
        <v>0.2857142857</v>
      </c>
      <c r="W6" s="9">
        <f t="array" ref="W6">INDEX(INDIRECT(INDEX($D$6,0) &amp; "!$D$4"),0)</f>
        <v>0.04761904762</v>
      </c>
      <c r="X6" s="9">
        <f t="array" ref="X6">INDEX(INDIRECT(INDEX($D$6,0) &amp; "!$D$5"),0)</f>
        <v>0.4285714286</v>
      </c>
      <c r="Y6" s="9">
        <f t="array" ref="Y6">INDEX(INDIRECT(INDEX($D$6,0) &amp; "!$D$6"),0)</f>
        <v>0.1904761905</v>
      </c>
      <c r="AA6" s="3">
        <f t="array" ref="AA6">INDEX(INDIRECT(INDEX($D$6,0) &amp; "!$C$2"),0)</f>
        <v>1</v>
      </c>
      <c r="AB6" s="3">
        <f t="array" ref="AB6">INDEX(INDIRECT(INDEX($D$6,0) &amp; "!$C$3"),0)</f>
        <v>6</v>
      </c>
      <c r="AC6" s="3">
        <f t="array" ref="AC6">INDEX(INDIRECT(INDEX($D$6,0) &amp; "!$C$4"),0)</f>
        <v>1</v>
      </c>
      <c r="AD6" s="3">
        <f t="array" ref="AD6">INDEX(INDIRECT(INDEX($D$6,0) &amp; "!$C$5"),0)</f>
        <v>9</v>
      </c>
      <c r="AE6" s="3">
        <f t="array" ref="AE6">INDEX(INDIRECT(INDEX($D$6,0) &amp; "!$C$6"),0)</f>
        <v>4</v>
      </c>
      <c r="AF6" s="16">
        <f t="shared" si="3"/>
        <v>21</v>
      </c>
    </row>
    <row r="7">
      <c r="A7" s="1" t="s">
        <v>44</v>
      </c>
      <c r="B7" s="18">
        <f>AVERAGE(B$4:B6)</f>
        <v>0.59356185</v>
      </c>
      <c r="F7" s="18">
        <f t="shared" ref="F7:M7" si="4">AVERAGE(F4:F6)</f>
        <v>0.9333333333</v>
      </c>
      <c r="G7" s="18">
        <f t="shared" si="4"/>
        <v>0.1481481481</v>
      </c>
      <c r="H7" s="18">
        <f t="shared" si="4"/>
        <v>0.9166666667</v>
      </c>
      <c r="I7" s="18">
        <f t="shared" si="4"/>
        <v>0.2861111111</v>
      </c>
      <c r="J7" s="41">
        <f t="shared" si="4"/>
        <v>0.4700854701</v>
      </c>
      <c r="K7" s="42">
        <f t="shared" si="4"/>
        <v>0.6102941176</v>
      </c>
      <c r="L7" s="18">
        <f t="shared" si="4"/>
        <v>0.3555555556</v>
      </c>
      <c r="M7" s="42">
        <f t="shared" si="4"/>
        <v>0.4217948718</v>
      </c>
      <c r="O7" s="21">
        <f t="shared" ref="O7:R7" si="5">SUM(O4:O6)</f>
        <v>10</v>
      </c>
      <c r="P7" s="21">
        <f t="shared" si="5"/>
        <v>17</v>
      </c>
      <c r="Q7" s="21">
        <f t="shared" si="5"/>
        <v>12</v>
      </c>
      <c r="R7" s="21">
        <f t="shared" si="5"/>
        <v>27</v>
      </c>
      <c r="S7" s="22">
        <f t="shared" si="2"/>
        <v>66</v>
      </c>
      <c r="U7" s="18">
        <f t="shared" ref="U7:Y7" si="6">AVERAGE(U4:U6)</f>
        <v>0.1326115216</v>
      </c>
      <c r="V7" s="18">
        <f t="shared" si="6"/>
        <v>0.1286432677</v>
      </c>
      <c r="W7" s="18">
        <f t="shared" si="6"/>
        <v>0.1451833607</v>
      </c>
      <c r="X7" s="18">
        <f t="shared" si="6"/>
        <v>0.3662766831</v>
      </c>
      <c r="Y7" s="18">
        <f t="shared" si="6"/>
        <v>0.2272851669</v>
      </c>
      <c r="Z7" s="23">
        <f t="shared" ref="Z7:Z8" si="9">SUM(U7:Y7)</f>
        <v>1</v>
      </c>
      <c r="AA7" s="24">
        <f t="shared" ref="AA7:AE7" si="7">SUM(AA4:AA6)</f>
        <v>12</v>
      </c>
      <c r="AB7" s="24">
        <f t="shared" si="7"/>
        <v>9</v>
      </c>
      <c r="AC7" s="24">
        <f t="shared" si="7"/>
        <v>13</v>
      </c>
      <c r="AD7" s="24">
        <f t="shared" si="7"/>
        <v>29</v>
      </c>
      <c r="AE7" s="24">
        <f t="shared" si="7"/>
        <v>19</v>
      </c>
      <c r="AF7" s="25">
        <f t="shared" si="3"/>
        <v>82</v>
      </c>
    </row>
    <row r="8">
      <c r="A8" s="1" t="s">
        <v>45</v>
      </c>
      <c r="B8" s="9">
        <f t="array" ref="B8">SUM($B4:$B6*$AF4:$AF6)/$AF7</f>
        <v>0.5853658537</v>
      </c>
      <c r="F8" s="13">
        <f t="array" ref="F8">SUM(F4:F6*O4:O6)/O7</f>
        <v>0.9</v>
      </c>
      <c r="G8" s="13">
        <f t="array" ref="G8">SUM(G4:G6*P4:P6)/P7</f>
        <v>0.2352941176</v>
      </c>
      <c r="H8" s="13">
        <f t="array" ref="H8">SUM(H4:H6*Q4:Q6)/Q7</f>
        <v>0.9166666667</v>
      </c>
      <c r="I8" s="13">
        <f t="array" ref="I8">SUM(I4:I6*R4:R6)/R7</f>
        <v>0.2962962963</v>
      </c>
      <c r="J8" s="43">
        <f t="array" ref="J8">SUM(J4:J6*S4:S6)/S7</f>
        <v>0.4848484848</v>
      </c>
      <c r="K8" s="54"/>
      <c r="L8" s="13"/>
      <c r="M8" s="54"/>
      <c r="U8" s="13">
        <f t="shared" ref="U8:Y8" si="8">AA7/$AF7</f>
        <v>0.1463414634</v>
      </c>
      <c r="V8" s="13">
        <f t="shared" si="8"/>
        <v>0.1097560976</v>
      </c>
      <c r="W8" s="13">
        <f t="shared" si="8"/>
        <v>0.1585365854</v>
      </c>
      <c r="X8" s="13">
        <f t="shared" si="8"/>
        <v>0.3536585366</v>
      </c>
      <c r="Y8" s="13">
        <f t="shared" si="8"/>
        <v>0.2317073171</v>
      </c>
      <c r="Z8" s="23">
        <f t="shared" si="9"/>
        <v>1</v>
      </c>
    </row>
    <row r="9">
      <c r="B9" s="3"/>
      <c r="H9" s="17"/>
      <c r="V9" s="26"/>
      <c r="W9" s="26"/>
      <c r="AB9" s="26"/>
      <c r="AC9" s="26"/>
    </row>
    <row r="10">
      <c r="B10" s="29"/>
    </row>
    <row r="11">
      <c r="B11" s="4"/>
      <c r="F11" s="4"/>
      <c r="G11" s="4"/>
      <c r="H11" s="4"/>
      <c r="I11" s="4"/>
      <c r="O11" s="4"/>
      <c r="P11" s="4"/>
      <c r="Q11" s="4"/>
      <c r="R11" s="4"/>
      <c r="U11" s="4"/>
      <c r="V11" s="4"/>
      <c r="W11" s="4"/>
      <c r="X11" s="4"/>
      <c r="Y11" s="4"/>
      <c r="AA11" s="4"/>
      <c r="AB11" s="4"/>
      <c r="AC11" s="4"/>
      <c r="AD11" s="4"/>
      <c r="AE11" s="4"/>
    </row>
    <row r="12">
      <c r="B12" s="4" t="s">
        <v>9</v>
      </c>
      <c r="F12" s="55"/>
      <c r="G12" s="55"/>
      <c r="H12" s="55"/>
      <c r="I12" s="55"/>
      <c r="J12" s="55"/>
      <c r="K12" s="55"/>
      <c r="L12" s="55"/>
      <c r="M12" s="55"/>
      <c r="O12" s="55"/>
      <c r="P12" s="55"/>
      <c r="Q12" s="55"/>
      <c r="R12" s="55"/>
      <c r="U12" s="55"/>
      <c r="V12" s="55"/>
      <c r="W12" s="55"/>
      <c r="X12" s="55"/>
      <c r="Y12" s="55"/>
      <c r="AA12" s="55"/>
      <c r="AB12" s="55"/>
      <c r="AC12" s="55"/>
      <c r="AD12" s="55"/>
      <c r="AE12" s="55"/>
    </row>
    <row r="13">
      <c r="A13" s="1" t="s">
        <v>83</v>
      </c>
      <c r="B13" s="9">
        <f t="array" ref="B13">INDEX(INDIRECT(INDEX($D$4,0) &amp; "!$D$18"),0)</f>
        <v>0.375</v>
      </c>
      <c r="C13" s="56"/>
      <c r="J13" s="13"/>
      <c r="K13" s="13"/>
      <c r="L13" s="13"/>
      <c r="M13" s="13"/>
    </row>
    <row r="14">
      <c r="A14" s="1" t="s">
        <v>84</v>
      </c>
      <c r="B14" s="9">
        <f t="array" ref="B14">INDEX(INDIRECT(INDEX($D$5,0) &amp; "!$D$18"),0)</f>
        <v>0.5769230769</v>
      </c>
      <c r="C14" s="10"/>
      <c r="J14" s="13"/>
      <c r="K14" s="13"/>
      <c r="L14" s="13"/>
      <c r="M14" s="13"/>
    </row>
    <row r="15">
      <c r="A15" s="1" t="s">
        <v>82</v>
      </c>
      <c r="B15" s="9">
        <f t="array" ref="B15">INDEX(INDIRECT(INDEX($D$6,0) &amp; "!$D$18"),0)</f>
        <v>0.4583333333</v>
      </c>
      <c r="C15" s="10"/>
      <c r="J15" s="13"/>
      <c r="K15" s="13"/>
      <c r="L15" s="13"/>
      <c r="M15" s="13"/>
    </row>
    <row r="16">
      <c r="A16" s="1" t="s">
        <v>44</v>
      </c>
      <c r="B16" s="18">
        <f>AVERAGE(B$13:B15)</f>
        <v>0.4700854701</v>
      </c>
      <c r="C16" s="17"/>
      <c r="E16" s="17"/>
      <c r="F16" s="13"/>
      <c r="G16" s="13"/>
      <c r="H16" s="13"/>
      <c r="I16" s="13"/>
      <c r="J16" s="13"/>
      <c r="K16" s="13"/>
      <c r="L16" s="13"/>
      <c r="M16" s="13"/>
      <c r="U16" s="13"/>
      <c r="V16" s="13"/>
      <c r="W16" s="13"/>
      <c r="X16" s="13"/>
      <c r="Y16" s="13"/>
      <c r="Z16" s="55"/>
      <c r="AA16" s="55"/>
      <c r="AB16" s="55"/>
      <c r="AC16" s="55"/>
      <c r="AD16" s="55"/>
      <c r="AE16" s="55"/>
    </row>
    <row r="17">
      <c r="A17" s="1" t="s">
        <v>45</v>
      </c>
      <c r="B17" s="9">
        <f t="array" ref="B17">SUM($B13:$B15*$S4:$S6)/$S7</f>
        <v>0.4848484848</v>
      </c>
      <c r="C17" s="17"/>
      <c r="F17" s="13"/>
      <c r="G17" s="13"/>
      <c r="H17" s="13"/>
      <c r="I17" s="13"/>
      <c r="J17" s="13"/>
      <c r="K17" s="13"/>
      <c r="L17" s="13"/>
      <c r="M17" s="13"/>
      <c r="U17" s="13"/>
      <c r="V17" s="13"/>
      <c r="W17" s="13"/>
      <c r="X17" s="13"/>
      <c r="Y17" s="13"/>
      <c r="Z17" s="55"/>
    </row>
    <row r="18">
      <c r="B18" s="3"/>
      <c r="V18" s="26"/>
      <c r="W18" s="26"/>
      <c r="AB18" s="26"/>
      <c r="AC18" s="26"/>
    </row>
    <row r="19">
      <c r="B19" s="29"/>
    </row>
    <row r="20">
      <c r="B20" s="4"/>
      <c r="F20" s="4"/>
      <c r="G20" s="4"/>
      <c r="H20" s="4"/>
      <c r="I20" s="4"/>
      <c r="O20" s="4"/>
      <c r="P20" s="4"/>
      <c r="Q20" s="4"/>
      <c r="R20" s="4"/>
      <c r="U20" s="4"/>
      <c r="V20" s="4"/>
      <c r="W20" s="4"/>
      <c r="X20" s="4"/>
      <c r="Y20" s="4"/>
      <c r="AA20" s="4"/>
      <c r="AB20" s="4"/>
      <c r="AC20" s="4"/>
      <c r="AD20" s="4"/>
      <c r="AE20" s="4"/>
    </row>
    <row r="21">
      <c r="B21" s="4" t="s">
        <v>74</v>
      </c>
    </row>
    <row r="22">
      <c r="A22" s="1" t="s">
        <v>83</v>
      </c>
      <c r="B22" s="9">
        <f t="shared" ref="B22:B24" si="10">IF(B4, 2*B4*B13/(B4+B13), "")</f>
        <v>0.4038461538</v>
      </c>
      <c r="C22" s="17" t="s">
        <v>40</v>
      </c>
    </row>
    <row r="23">
      <c r="A23" s="1" t="s">
        <v>84</v>
      </c>
      <c r="B23" s="9">
        <f t="shared" si="10"/>
        <v>0.6422018349</v>
      </c>
    </row>
    <row r="24">
      <c r="A24" s="1" t="s">
        <v>82</v>
      </c>
      <c r="B24" s="9">
        <f t="shared" si="10"/>
        <v>0.5267034991</v>
      </c>
    </row>
    <row r="25">
      <c r="A25" s="1" t="s">
        <v>44</v>
      </c>
      <c r="B25" s="18">
        <f>AVERAGE(B$22:B24)</f>
        <v>0.5242504959</v>
      </c>
      <c r="C25" s="17"/>
      <c r="E25" s="17"/>
    </row>
    <row r="26">
      <c r="A26" s="1" t="s">
        <v>45</v>
      </c>
      <c r="B26" s="57"/>
    </row>
    <row r="27">
      <c r="B27" s="3"/>
      <c r="F27" s="44"/>
      <c r="G27" s="44"/>
      <c r="H27" s="44"/>
      <c r="I27" s="17"/>
      <c r="J27" s="44"/>
      <c r="K27" s="44"/>
      <c r="L27" s="44"/>
      <c r="M27" s="44"/>
      <c r="U27" s="45"/>
      <c r="V27" s="46"/>
      <c r="W27" s="46"/>
    </row>
    <row r="28">
      <c r="A28" s="1"/>
      <c r="B28" s="4" t="s">
        <v>56</v>
      </c>
      <c r="C28" s="4" t="s">
        <v>57</v>
      </c>
      <c r="D28" s="4"/>
      <c r="F28" s="1"/>
      <c r="H28" s="4"/>
      <c r="I28" s="4"/>
      <c r="J28" s="44"/>
      <c r="K28" s="44"/>
      <c r="L28" s="44"/>
      <c r="M28" s="44"/>
      <c r="U28" s="45"/>
      <c r="V28" s="46"/>
      <c r="W28" s="46"/>
    </row>
    <row r="29">
      <c r="A29" s="1" t="s">
        <v>83</v>
      </c>
      <c r="B29" s="14">
        <f t="array" ref="B29">INDEX(INDIRECT(INDEX($D$4,0) &amp; "!$C$7"),0)</f>
        <v>32</v>
      </c>
      <c r="C29" s="47">
        <f t="shared" ref="C29:C31" si="11">INDEX(INDIRECT(INDEX($D4,0) &amp; "!$C$7"),0) * $B4</f>
        <v>14</v>
      </c>
      <c r="J29" s="44"/>
      <c r="K29" s="44"/>
      <c r="L29" s="44"/>
      <c r="M29" s="44"/>
      <c r="U29" s="45"/>
      <c r="V29" s="46"/>
      <c r="W29" s="46"/>
    </row>
    <row r="30">
      <c r="A30" s="1" t="s">
        <v>84</v>
      </c>
      <c r="B30" s="14">
        <f t="array" ref="B30">INDEX(INDIRECT(INDEX($D$5,0) &amp; "!$C$7"),0)</f>
        <v>29</v>
      </c>
      <c r="C30" s="47">
        <f t="shared" si="11"/>
        <v>21</v>
      </c>
      <c r="U30" s="45"/>
      <c r="V30" s="46"/>
      <c r="W30" s="46"/>
    </row>
    <row r="31">
      <c r="A31" s="1" t="s">
        <v>82</v>
      </c>
      <c r="B31" s="14">
        <f t="array" ref="B31">INDEX(INDIRECT(INDEX($D$6,0) &amp; "!$C$7"),0)</f>
        <v>21</v>
      </c>
      <c r="C31" s="47">
        <f t="shared" si="11"/>
        <v>13</v>
      </c>
      <c r="U31" s="45"/>
      <c r="V31" s="46"/>
      <c r="W31" s="46"/>
    </row>
    <row r="32">
      <c r="A32" s="1" t="s">
        <v>44</v>
      </c>
      <c r="B32" s="48">
        <f t="shared" ref="B32:C32" si="12">AVERAGE(B29:B31)</f>
        <v>27.33333333</v>
      </c>
      <c r="C32" s="48">
        <f t="shared" si="12"/>
        <v>16</v>
      </c>
      <c r="D32" s="19"/>
      <c r="H32" s="19"/>
      <c r="I32" s="19"/>
      <c r="U32" s="45"/>
      <c r="V32" s="46"/>
      <c r="W32" s="46"/>
    </row>
    <row r="33">
      <c r="A33" s="1"/>
      <c r="B33" s="4"/>
      <c r="C33" s="4"/>
      <c r="D33" s="3"/>
      <c r="F33" s="1"/>
      <c r="H33" s="3"/>
      <c r="I33" s="3"/>
      <c r="U33" s="45"/>
      <c r="V33" s="46"/>
      <c r="W33" s="46"/>
    </row>
    <row r="34">
      <c r="B34" s="28"/>
      <c r="C34" s="28"/>
      <c r="D34" s="9"/>
      <c r="H34" s="9"/>
      <c r="I34" s="9"/>
      <c r="U34" s="45"/>
      <c r="V34" s="46"/>
      <c r="W34" s="46"/>
    </row>
    <row r="35">
      <c r="B35" s="28"/>
      <c r="C35" s="28"/>
      <c r="D35" s="29"/>
      <c r="H35" s="29"/>
      <c r="I35" s="29"/>
      <c r="U35" s="45"/>
      <c r="V35" s="46"/>
      <c r="W35" s="46"/>
    </row>
    <row r="36">
      <c r="U36" s="45"/>
      <c r="V36" s="46"/>
      <c r="W36" s="46"/>
    </row>
    <row r="37">
      <c r="U37" s="45"/>
      <c r="V37" s="46"/>
      <c r="W37" s="46"/>
    </row>
    <row r="38">
      <c r="U38" s="45"/>
      <c r="V38" s="46"/>
      <c r="W38" s="46"/>
    </row>
    <row r="39">
      <c r="U39" s="45"/>
      <c r="V39" s="46"/>
      <c r="W39" s="46"/>
    </row>
    <row r="40">
      <c r="U40" s="45"/>
      <c r="V40" s="46"/>
      <c r="W40" s="46"/>
    </row>
    <row r="41">
      <c r="U41" s="45"/>
      <c r="V41" s="46"/>
      <c r="W41" s="46"/>
    </row>
    <row r="42">
      <c r="U42" s="45"/>
      <c r="V42" s="46"/>
      <c r="W42" s="46"/>
    </row>
    <row r="43">
      <c r="U43" s="45"/>
      <c r="V43" s="46"/>
      <c r="W43" s="46"/>
    </row>
    <row r="44">
      <c r="U44" s="45"/>
      <c r="V44" s="46"/>
      <c r="W44" s="46"/>
    </row>
    <row r="45">
      <c r="U45" s="45"/>
      <c r="V45" s="46"/>
      <c r="W45" s="46"/>
    </row>
    <row r="46">
      <c r="U46" s="45"/>
      <c r="V46" s="46"/>
      <c r="W46" s="46"/>
    </row>
    <row r="47">
      <c r="U47" s="45"/>
      <c r="V47" s="46"/>
      <c r="W47" s="46"/>
    </row>
    <row r="48">
      <c r="U48" s="45"/>
      <c r="V48" s="46"/>
      <c r="W48" s="46"/>
    </row>
    <row r="49">
      <c r="U49" s="45"/>
      <c r="V49" s="46"/>
      <c r="W49" s="46"/>
    </row>
    <row r="50">
      <c r="U50" s="45"/>
      <c r="V50" s="46"/>
      <c r="W50" s="46"/>
    </row>
    <row r="51">
      <c r="U51" s="45"/>
      <c r="V51" s="46"/>
      <c r="W51" s="46"/>
    </row>
    <row r="52">
      <c r="U52" s="45"/>
      <c r="V52" s="46"/>
      <c r="W52" s="46"/>
    </row>
    <row r="53">
      <c r="U53" s="45"/>
      <c r="V53" s="46"/>
      <c r="W53" s="46"/>
    </row>
    <row r="54">
      <c r="U54" s="45"/>
      <c r="V54" s="46"/>
      <c r="W54" s="46"/>
    </row>
    <row r="55">
      <c r="U55" s="45"/>
      <c r="V55" s="46"/>
      <c r="W55" s="46"/>
    </row>
    <row r="56">
      <c r="U56" s="45"/>
      <c r="V56" s="46"/>
      <c r="W56" s="46"/>
    </row>
    <row r="57">
      <c r="U57" s="45"/>
      <c r="V57" s="46"/>
      <c r="W57" s="46"/>
    </row>
    <row r="58">
      <c r="U58" s="45"/>
      <c r="V58" s="46"/>
      <c r="W58" s="46"/>
    </row>
    <row r="59">
      <c r="U59" s="45"/>
      <c r="V59" s="46"/>
      <c r="W59" s="46"/>
    </row>
    <row r="60">
      <c r="U60" s="45"/>
      <c r="V60" s="46"/>
      <c r="W60" s="46"/>
    </row>
    <row r="61">
      <c r="U61" s="45"/>
      <c r="V61" s="46"/>
      <c r="W61" s="46"/>
    </row>
    <row r="62">
      <c r="U62" s="45"/>
      <c r="V62" s="46"/>
      <c r="W62" s="46"/>
    </row>
    <row r="63">
      <c r="U63" s="45"/>
      <c r="V63" s="46"/>
      <c r="W63" s="46"/>
    </row>
    <row r="64">
      <c r="U64" s="45"/>
      <c r="V64" s="46"/>
      <c r="W64" s="46"/>
    </row>
    <row r="65">
      <c r="U65" s="45"/>
      <c r="V65" s="46"/>
      <c r="W65" s="46"/>
    </row>
    <row r="66">
      <c r="U66" s="45"/>
      <c r="V66" s="46"/>
      <c r="W66" s="46"/>
    </row>
    <row r="67">
      <c r="U67" s="45"/>
      <c r="V67" s="46"/>
      <c r="W67" s="46"/>
    </row>
    <row r="68">
      <c r="U68" s="45"/>
      <c r="V68" s="46"/>
      <c r="W68" s="46"/>
    </row>
    <row r="69">
      <c r="U69" s="45"/>
      <c r="V69" s="46"/>
      <c r="W69" s="46"/>
    </row>
    <row r="70">
      <c r="U70" s="45"/>
      <c r="V70" s="46"/>
      <c r="W70" s="46"/>
    </row>
    <row r="71">
      <c r="U71" s="45"/>
      <c r="V71" s="46"/>
      <c r="W71" s="46"/>
    </row>
    <row r="72">
      <c r="U72" s="45"/>
      <c r="V72" s="46"/>
      <c r="W72" s="46"/>
    </row>
    <row r="73">
      <c r="U73" s="45"/>
      <c r="V73" s="46"/>
      <c r="W73" s="46"/>
    </row>
    <row r="74">
      <c r="U74" s="45"/>
      <c r="V74" s="46"/>
      <c r="W74" s="46"/>
    </row>
    <row r="75">
      <c r="U75" s="45"/>
      <c r="V75" s="46"/>
      <c r="W75" s="46"/>
    </row>
    <row r="76">
      <c r="U76" s="45"/>
      <c r="V76" s="46"/>
      <c r="W76" s="46"/>
    </row>
    <row r="77">
      <c r="U77" s="45"/>
      <c r="V77" s="46"/>
      <c r="W77" s="46"/>
    </row>
    <row r="78">
      <c r="U78" s="45"/>
      <c r="V78" s="46"/>
      <c r="W78" s="46"/>
    </row>
    <row r="79">
      <c r="U79" s="45"/>
      <c r="V79" s="46"/>
      <c r="W79" s="46"/>
    </row>
    <row r="80">
      <c r="U80" s="45"/>
      <c r="V80" s="46"/>
      <c r="W80" s="46"/>
    </row>
    <row r="81">
      <c r="U81" s="45"/>
      <c r="V81" s="46"/>
      <c r="W81" s="46"/>
    </row>
    <row r="82">
      <c r="U82" s="45"/>
      <c r="V82" s="46"/>
      <c r="W82" s="46"/>
    </row>
    <row r="83">
      <c r="U83" s="45"/>
      <c r="V83" s="46"/>
      <c r="W83" s="46"/>
    </row>
    <row r="84">
      <c r="U84" s="45"/>
      <c r="V84" s="46"/>
      <c r="W84" s="46"/>
    </row>
    <row r="85">
      <c r="U85" s="45"/>
      <c r="V85" s="46"/>
      <c r="W85" s="46"/>
    </row>
    <row r="86">
      <c r="U86" s="45"/>
      <c r="V86" s="46"/>
      <c r="W86" s="46"/>
    </row>
    <row r="87">
      <c r="U87" s="45"/>
      <c r="V87" s="46"/>
      <c r="W87" s="46"/>
    </row>
    <row r="88">
      <c r="U88" s="45"/>
      <c r="V88" s="46"/>
      <c r="W88" s="46"/>
    </row>
    <row r="89">
      <c r="U89" s="45"/>
      <c r="V89" s="46"/>
      <c r="W89" s="46"/>
    </row>
    <row r="90">
      <c r="U90" s="45"/>
      <c r="V90" s="46"/>
      <c r="W90" s="46"/>
    </row>
    <row r="91">
      <c r="U91" s="45"/>
      <c r="V91" s="46"/>
      <c r="W91" s="46"/>
    </row>
    <row r="92">
      <c r="U92" s="45"/>
      <c r="V92" s="46"/>
      <c r="W92" s="46"/>
    </row>
    <row r="93">
      <c r="U93" s="45"/>
      <c r="V93" s="46"/>
      <c r="W93" s="46"/>
    </row>
    <row r="94">
      <c r="U94" s="45"/>
      <c r="V94" s="46"/>
      <c r="W94" s="46"/>
    </row>
    <row r="95">
      <c r="U95" s="45"/>
      <c r="V95" s="46"/>
      <c r="W95" s="46"/>
    </row>
    <row r="96">
      <c r="U96" s="45"/>
      <c r="V96" s="46"/>
      <c r="W96" s="46"/>
    </row>
    <row r="97">
      <c r="U97" s="45"/>
      <c r="V97" s="46"/>
      <c r="W97" s="46"/>
    </row>
    <row r="98">
      <c r="U98" s="45"/>
      <c r="V98" s="46"/>
      <c r="W98" s="46"/>
    </row>
    <row r="99">
      <c r="U99" s="45"/>
      <c r="V99" s="46"/>
      <c r="W99" s="46"/>
    </row>
    <row r="100">
      <c r="U100" s="45"/>
      <c r="V100" s="46"/>
      <c r="W100" s="46"/>
    </row>
    <row r="101">
      <c r="U101" s="45"/>
      <c r="V101" s="46"/>
      <c r="W101" s="46"/>
    </row>
    <row r="102">
      <c r="U102" s="45"/>
      <c r="V102" s="46"/>
      <c r="W102" s="46"/>
    </row>
    <row r="103">
      <c r="U103" s="45"/>
      <c r="V103" s="46"/>
      <c r="W103" s="46"/>
    </row>
    <row r="104">
      <c r="U104" s="45"/>
      <c r="V104" s="46"/>
      <c r="W104" s="46"/>
    </row>
    <row r="105">
      <c r="U105" s="45"/>
      <c r="V105" s="46"/>
      <c r="W105" s="46"/>
    </row>
    <row r="106">
      <c r="U106" s="45"/>
      <c r="V106" s="46"/>
      <c r="W106" s="46"/>
    </row>
    <row r="107">
      <c r="U107" s="45"/>
      <c r="V107" s="46"/>
      <c r="W107" s="46"/>
    </row>
    <row r="108">
      <c r="U108" s="45"/>
      <c r="V108" s="46"/>
      <c r="W108" s="46"/>
    </row>
    <row r="109">
      <c r="U109" s="45"/>
      <c r="V109" s="46"/>
      <c r="W109" s="46"/>
    </row>
    <row r="110">
      <c r="U110" s="45"/>
      <c r="V110" s="46"/>
      <c r="W110" s="46"/>
    </row>
    <row r="111">
      <c r="U111" s="45"/>
      <c r="V111" s="46"/>
      <c r="W111" s="46"/>
    </row>
    <row r="112">
      <c r="U112" s="45"/>
      <c r="V112" s="46"/>
      <c r="W112" s="46"/>
    </row>
    <row r="113">
      <c r="U113" s="45"/>
      <c r="V113" s="46"/>
      <c r="W113" s="46"/>
    </row>
    <row r="114">
      <c r="U114" s="45"/>
      <c r="V114" s="46"/>
      <c r="W114" s="46"/>
    </row>
    <row r="115">
      <c r="U115" s="45"/>
      <c r="V115" s="46"/>
      <c r="W115" s="46"/>
    </row>
    <row r="116">
      <c r="U116" s="45"/>
      <c r="V116" s="46"/>
      <c r="W116" s="46"/>
    </row>
    <row r="117">
      <c r="U117" s="45"/>
      <c r="V117" s="46"/>
      <c r="W117" s="46"/>
    </row>
    <row r="118">
      <c r="U118" s="45"/>
      <c r="V118" s="46"/>
      <c r="W118" s="46"/>
    </row>
    <row r="119">
      <c r="U119" s="45"/>
      <c r="V119" s="46"/>
      <c r="W119" s="46"/>
    </row>
    <row r="120">
      <c r="U120" s="45"/>
      <c r="V120" s="46"/>
      <c r="W120" s="46"/>
    </row>
    <row r="121">
      <c r="U121" s="45"/>
      <c r="V121" s="46"/>
      <c r="W121" s="46"/>
    </row>
    <row r="122">
      <c r="U122" s="45"/>
      <c r="V122" s="46"/>
      <c r="W122" s="46"/>
    </row>
    <row r="123">
      <c r="U123" s="45"/>
      <c r="V123" s="46"/>
      <c r="W123" s="46"/>
    </row>
    <row r="124">
      <c r="U124" s="45"/>
      <c r="V124" s="46"/>
      <c r="W124" s="46"/>
    </row>
    <row r="125">
      <c r="U125" s="45"/>
      <c r="V125" s="46"/>
      <c r="W125" s="46"/>
    </row>
    <row r="126">
      <c r="U126" s="45"/>
      <c r="V126" s="46"/>
      <c r="W126" s="46"/>
    </row>
    <row r="127">
      <c r="U127" s="45"/>
      <c r="V127" s="46"/>
      <c r="W127" s="46"/>
    </row>
    <row r="128">
      <c r="U128" s="45"/>
      <c r="V128" s="46"/>
      <c r="W128" s="46"/>
    </row>
    <row r="129">
      <c r="U129" s="45"/>
      <c r="V129" s="46"/>
      <c r="W129" s="46"/>
    </row>
    <row r="130">
      <c r="U130" s="45"/>
      <c r="V130" s="46"/>
      <c r="W130" s="46"/>
    </row>
    <row r="131">
      <c r="U131" s="45"/>
      <c r="V131" s="46"/>
      <c r="W131" s="46"/>
    </row>
    <row r="132">
      <c r="U132" s="45"/>
      <c r="V132" s="46"/>
      <c r="W132" s="46"/>
    </row>
    <row r="133">
      <c r="U133" s="45"/>
      <c r="V133" s="46"/>
      <c r="W133" s="46"/>
    </row>
    <row r="134">
      <c r="U134" s="45"/>
      <c r="V134" s="46"/>
      <c r="W134" s="46"/>
    </row>
    <row r="135">
      <c r="U135" s="45"/>
      <c r="V135" s="46"/>
      <c r="W135" s="46"/>
    </row>
    <row r="136">
      <c r="U136" s="45"/>
      <c r="V136" s="46"/>
      <c r="W136" s="46"/>
    </row>
    <row r="137">
      <c r="U137" s="45"/>
      <c r="V137" s="46"/>
      <c r="W137" s="46"/>
    </row>
    <row r="138">
      <c r="U138" s="45"/>
      <c r="V138" s="46"/>
      <c r="W138" s="46"/>
    </row>
    <row r="139">
      <c r="U139" s="45"/>
      <c r="V139" s="46"/>
      <c r="W139" s="46"/>
    </row>
    <row r="140">
      <c r="U140" s="45"/>
      <c r="V140" s="46"/>
      <c r="W140" s="46"/>
    </row>
    <row r="141">
      <c r="U141" s="45"/>
      <c r="V141" s="46"/>
      <c r="W141" s="46"/>
    </row>
    <row r="142">
      <c r="U142" s="45"/>
      <c r="V142" s="46"/>
      <c r="W142" s="46"/>
    </row>
    <row r="143">
      <c r="U143" s="45"/>
      <c r="V143" s="46"/>
      <c r="W143" s="46"/>
    </row>
    <row r="144">
      <c r="U144" s="45"/>
      <c r="V144" s="46"/>
      <c r="W144" s="46"/>
    </row>
    <row r="145">
      <c r="U145" s="45"/>
      <c r="V145" s="46"/>
      <c r="W145" s="46"/>
    </row>
    <row r="146">
      <c r="U146" s="45"/>
      <c r="V146" s="46"/>
      <c r="W146" s="46"/>
    </row>
    <row r="147">
      <c r="U147" s="45"/>
      <c r="V147" s="46"/>
      <c r="W147" s="46"/>
    </row>
    <row r="148">
      <c r="U148" s="45"/>
      <c r="V148" s="46"/>
      <c r="W148" s="46"/>
    </row>
    <row r="149">
      <c r="U149" s="45"/>
      <c r="V149" s="46"/>
      <c r="W149" s="46"/>
    </row>
    <row r="150">
      <c r="U150" s="45"/>
      <c r="V150" s="46"/>
      <c r="W150" s="46"/>
    </row>
    <row r="151">
      <c r="U151" s="45"/>
      <c r="V151" s="46"/>
      <c r="W151" s="46"/>
    </row>
    <row r="152">
      <c r="U152" s="45"/>
      <c r="V152" s="46"/>
      <c r="W152" s="46"/>
    </row>
    <row r="153">
      <c r="U153" s="45"/>
      <c r="V153" s="46"/>
      <c r="W153" s="46"/>
    </row>
    <row r="154">
      <c r="U154" s="45"/>
      <c r="V154" s="46"/>
      <c r="W154" s="46"/>
    </row>
    <row r="155">
      <c r="U155" s="45"/>
      <c r="V155" s="46"/>
      <c r="W155" s="46"/>
    </row>
    <row r="156">
      <c r="U156" s="45"/>
      <c r="V156" s="46"/>
      <c r="W156" s="46"/>
    </row>
    <row r="157">
      <c r="U157" s="45"/>
      <c r="V157" s="46"/>
      <c r="W157" s="46"/>
    </row>
    <row r="158">
      <c r="U158" s="45"/>
      <c r="V158" s="46"/>
      <c r="W158" s="46"/>
    </row>
    <row r="159">
      <c r="U159" s="45"/>
      <c r="V159" s="46"/>
      <c r="W159" s="46"/>
    </row>
    <row r="160">
      <c r="U160" s="45"/>
      <c r="V160" s="46"/>
      <c r="W160" s="46"/>
    </row>
    <row r="161">
      <c r="U161" s="45"/>
      <c r="V161" s="46"/>
      <c r="W161" s="46"/>
    </row>
    <row r="162">
      <c r="U162" s="45"/>
      <c r="V162" s="46"/>
      <c r="W162" s="46"/>
    </row>
    <row r="163">
      <c r="U163" s="45"/>
      <c r="V163" s="46"/>
      <c r="W163" s="46"/>
    </row>
    <row r="164">
      <c r="U164" s="45"/>
      <c r="V164" s="46"/>
      <c r="W164" s="46"/>
    </row>
    <row r="165">
      <c r="U165" s="45"/>
      <c r="V165" s="46"/>
      <c r="W165" s="46"/>
    </row>
    <row r="166">
      <c r="U166" s="45"/>
      <c r="V166" s="46"/>
      <c r="W166" s="46"/>
    </row>
    <row r="167">
      <c r="U167" s="45"/>
      <c r="V167" s="46"/>
      <c r="W167" s="46"/>
    </row>
    <row r="168">
      <c r="U168" s="45"/>
      <c r="V168" s="46"/>
      <c r="W168" s="46"/>
    </row>
    <row r="169">
      <c r="U169" s="45"/>
      <c r="V169" s="46"/>
      <c r="W169" s="46"/>
    </row>
    <row r="170">
      <c r="U170" s="45"/>
      <c r="V170" s="46"/>
      <c r="W170" s="46"/>
    </row>
    <row r="171">
      <c r="U171" s="45"/>
      <c r="V171" s="46"/>
      <c r="W171" s="46"/>
    </row>
    <row r="172">
      <c r="U172" s="45"/>
      <c r="V172" s="46"/>
      <c r="W172" s="46"/>
    </row>
    <row r="173">
      <c r="U173" s="45"/>
      <c r="V173" s="46"/>
      <c r="W173" s="46"/>
    </row>
    <row r="174">
      <c r="U174" s="45"/>
      <c r="V174" s="46"/>
      <c r="W174" s="46"/>
    </row>
    <row r="175">
      <c r="U175" s="45"/>
      <c r="V175" s="46"/>
      <c r="W175" s="46"/>
    </row>
    <row r="176">
      <c r="U176" s="45"/>
      <c r="V176" s="46"/>
      <c r="W176" s="46"/>
    </row>
    <row r="177">
      <c r="U177" s="45"/>
      <c r="V177" s="46"/>
      <c r="W177" s="46"/>
    </row>
    <row r="178">
      <c r="U178" s="45"/>
      <c r="V178" s="46"/>
      <c r="W178" s="46"/>
    </row>
    <row r="179">
      <c r="U179" s="45"/>
      <c r="V179" s="46"/>
      <c r="W179" s="46"/>
    </row>
    <row r="180">
      <c r="U180" s="45"/>
      <c r="V180" s="46"/>
      <c r="W180" s="46"/>
    </row>
    <row r="181">
      <c r="U181" s="45"/>
      <c r="V181" s="46"/>
      <c r="W181" s="46"/>
    </row>
    <row r="182">
      <c r="U182" s="45"/>
      <c r="V182" s="46"/>
      <c r="W182" s="46"/>
    </row>
    <row r="183">
      <c r="U183" s="45"/>
      <c r="V183" s="46"/>
      <c r="W183" s="46"/>
    </row>
    <row r="184">
      <c r="U184" s="45"/>
      <c r="V184" s="46"/>
      <c r="W184" s="46"/>
    </row>
    <row r="185">
      <c r="U185" s="45"/>
      <c r="V185" s="46"/>
      <c r="W185" s="46"/>
    </row>
    <row r="186">
      <c r="U186" s="45"/>
      <c r="V186" s="46"/>
      <c r="W186" s="46"/>
    </row>
    <row r="187">
      <c r="U187" s="45"/>
      <c r="V187" s="46"/>
      <c r="W187" s="46"/>
    </row>
    <row r="188">
      <c r="U188" s="45"/>
      <c r="V188" s="46"/>
      <c r="W188" s="46"/>
    </row>
    <row r="189">
      <c r="U189" s="45"/>
      <c r="V189" s="46"/>
      <c r="W189" s="46"/>
    </row>
    <row r="190">
      <c r="U190" s="45"/>
      <c r="V190" s="46"/>
      <c r="W190" s="46"/>
    </row>
    <row r="191">
      <c r="U191" s="45"/>
      <c r="V191" s="46"/>
      <c r="W191" s="46"/>
    </row>
    <row r="192">
      <c r="U192" s="45"/>
      <c r="V192" s="46"/>
      <c r="W192" s="46"/>
    </row>
    <row r="193">
      <c r="U193" s="45"/>
      <c r="V193" s="46"/>
      <c r="W193" s="46"/>
    </row>
    <row r="194">
      <c r="U194" s="45"/>
      <c r="V194" s="46"/>
      <c r="W194" s="46"/>
    </row>
    <row r="195">
      <c r="U195" s="45"/>
      <c r="V195" s="46"/>
      <c r="W195" s="46"/>
    </row>
    <row r="196">
      <c r="U196" s="45"/>
      <c r="V196" s="46"/>
      <c r="W196" s="46"/>
    </row>
    <row r="197">
      <c r="U197" s="45"/>
      <c r="V197" s="46"/>
      <c r="W197" s="46"/>
    </row>
    <row r="198">
      <c r="U198" s="45"/>
      <c r="V198" s="46"/>
      <c r="W198" s="46"/>
    </row>
    <row r="199">
      <c r="U199" s="45"/>
      <c r="V199" s="46"/>
      <c r="W199" s="46"/>
    </row>
    <row r="200">
      <c r="U200" s="45"/>
      <c r="V200" s="46"/>
      <c r="W200" s="46"/>
    </row>
    <row r="201">
      <c r="U201" s="45"/>
      <c r="V201" s="46"/>
      <c r="W201" s="46"/>
    </row>
    <row r="202">
      <c r="U202" s="45"/>
      <c r="V202" s="46"/>
      <c r="W202" s="46"/>
    </row>
    <row r="203">
      <c r="U203" s="45"/>
      <c r="V203" s="46"/>
      <c r="W203" s="46"/>
    </row>
    <row r="204">
      <c r="U204" s="45"/>
      <c r="V204" s="46"/>
      <c r="W204" s="46"/>
    </row>
    <row r="205">
      <c r="U205" s="45"/>
      <c r="V205" s="46"/>
      <c r="W205" s="46"/>
    </row>
    <row r="206">
      <c r="U206" s="45"/>
      <c r="V206" s="46"/>
      <c r="W206" s="46"/>
    </row>
    <row r="207">
      <c r="U207" s="45"/>
      <c r="V207" s="46"/>
      <c r="W207" s="46"/>
    </row>
    <row r="208">
      <c r="U208" s="45"/>
      <c r="V208" s="46"/>
      <c r="W208" s="46"/>
    </row>
    <row r="209">
      <c r="U209" s="45"/>
      <c r="V209" s="46"/>
      <c r="W209" s="46"/>
    </row>
    <row r="210">
      <c r="U210" s="45"/>
      <c r="V210" s="46"/>
      <c r="W210" s="46"/>
    </row>
    <row r="211">
      <c r="U211" s="45"/>
      <c r="V211" s="46"/>
      <c r="W211" s="46"/>
    </row>
    <row r="212">
      <c r="U212" s="45"/>
      <c r="V212" s="46"/>
      <c r="W212" s="46"/>
    </row>
    <row r="213">
      <c r="U213" s="45"/>
      <c r="V213" s="46"/>
      <c r="W213" s="46"/>
    </row>
    <row r="214">
      <c r="U214" s="45"/>
      <c r="V214" s="46"/>
      <c r="W214" s="46"/>
    </row>
    <row r="215">
      <c r="U215" s="45"/>
      <c r="V215" s="46"/>
      <c r="W215" s="46"/>
    </row>
    <row r="216">
      <c r="U216" s="45"/>
      <c r="V216" s="46"/>
      <c r="W216" s="46"/>
    </row>
    <row r="217">
      <c r="U217" s="45"/>
      <c r="V217" s="46"/>
      <c r="W217" s="46"/>
    </row>
    <row r="218">
      <c r="U218" s="45"/>
      <c r="V218" s="46"/>
      <c r="W218" s="46"/>
    </row>
    <row r="219">
      <c r="U219" s="45"/>
      <c r="V219" s="46"/>
      <c r="W219" s="46"/>
    </row>
    <row r="220">
      <c r="U220" s="45"/>
      <c r="V220" s="46"/>
      <c r="W220" s="46"/>
    </row>
    <row r="221">
      <c r="U221" s="45"/>
      <c r="V221" s="46"/>
      <c r="W221" s="46"/>
    </row>
    <row r="222">
      <c r="U222" s="45"/>
      <c r="V222" s="46"/>
      <c r="W222" s="46"/>
    </row>
    <row r="223">
      <c r="U223" s="45"/>
      <c r="V223" s="46"/>
      <c r="W223" s="46"/>
    </row>
    <row r="224">
      <c r="U224" s="45"/>
      <c r="V224" s="46"/>
      <c r="W224" s="46"/>
    </row>
    <row r="225">
      <c r="U225" s="45"/>
      <c r="V225" s="46"/>
      <c r="W225" s="46"/>
    </row>
    <row r="226">
      <c r="U226" s="45"/>
      <c r="V226" s="46"/>
      <c r="W226" s="46"/>
    </row>
    <row r="227">
      <c r="U227" s="45"/>
      <c r="V227" s="46"/>
      <c r="W227" s="46"/>
    </row>
    <row r="228">
      <c r="U228" s="45"/>
      <c r="V228" s="46"/>
      <c r="W228" s="46"/>
    </row>
    <row r="229">
      <c r="U229" s="45"/>
      <c r="V229" s="46"/>
      <c r="W229" s="46"/>
    </row>
    <row r="230">
      <c r="U230" s="45"/>
      <c r="V230" s="46"/>
      <c r="W230" s="46"/>
    </row>
    <row r="231">
      <c r="U231" s="45"/>
      <c r="V231" s="46"/>
      <c r="W231" s="46"/>
    </row>
    <row r="232">
      <c r="U232" s="45"/>
      <c r="V232" s="46"/>
      <c r="W232" s="46"/>
    </row>
    <row r="233">
      <c r="U233" s="45"/>
      <c r="V233" s="46"/>
      <c r="W233" s="46"/>
    </row>
    <row r="234">
      <c r="U234" s="45"/>
      <c r="V234" s="46"/>
      <c r="W234" s="46"/>
    </row>
    <row r="235">
      <c r="U235" s="45"/>
      <c r="V235" s="46"/>
      <c r="W235" s="46"/>
    </row>
    <row r="236">
      <c r="U236" s="45"/>
      <c r="V236" s="46"/>
      <c r="W236" s="46"/>
    </row>
    <row r="237">
      <c r="U237" s="45"/>
      <c r="V237" s="46"/>
      <c r="W237" s="46"/>
    </row>
    <row r="238">
      <c r="U238" s="45"/>
      <c r="V238" s="46"/>
      <c r="W238" s="46"/>
    </row>
    <row r="239">
      <c r="U239" s="45"/>
      <c r="V239" s="46"/>
      <c r="W239" s="46"/>
    </row>
    <row r="240">
      <c r="U240" s="45"/>
      <c r="V240" s="46"/>
      <c r="W240" s="46"/>
    </row>
    <row r="241">
      <c r="U241" s="45"/>
      <c r="V241" s="46"/>
      <c r="W241" s="46"/>
    </row>
    <row r="242">
      <c r="U242" s="45"/>
      <c r="V242" s="46"/>
      <c r="W242" s="46"/>
    </row>
    <row r="243">
      <c r="U243" s="45"/>
      <c r="V243" s="46"/>
      <c r="W243" s="46"/>
    </row>
    <row r="244">
      <c r="U244" s="45"/>
      <c r="V244" s="46"/>
      <c r="W244" s="46"/>
    </row>
    <row r="245">
      <c r="U245" s="45"/>
      <c r="V245" s="46"/>
      <c r="W245" s="46"/>
    </row>
    <row r="246">
      <c r="U246" s="45"/>
      <c r="V246" s="46"/>
      <c r="W246" s="46"/>
    </row>
    <row r="247">
      <c r="U247" s="45"/>
      <c r="V247" s="46"/>
      <c r="W247" s="46"/>
    </row>
    <row r="248">
      <c r="U248" s="45"/>
      <c r="V248" s="46"/>
      <c r="W248" s="46"/>
    </row>
    <row r="249">
      <c r="U249" s="45"/>
      <c r="V249" s="46"/>
      <c r="W249" s="46"/>
    </row>
    <row r="250">
      <c r="U250" s="45"/>
      <c r="V250" s="46"/>
      <c r="W250" s="46"/>
    </row>
    <row r="251">
      <c r="U251" s="45"/>
      <c r="V251" s="46"/>
      <c r="W251" s="46"/>
    </row>
    <row r="252">
      <c r="U252" s="45"/>
      <c r="V252" s="46"/>
      <c r="W252" s="46"/>
    </row>
    <row r="253">
      <c r="U253" s="45"/>
      <c r="V253" s="46"/>
      <c r="W253" s="46"/>
    </row>
    <row r="254">
      <c r="U254" s="45"/>
      <c r="V254" s="46"/>
      <c r="W254" s="46"/>
    </row>
    <row r="255">
      <c r="U255" s="45"/>
      <c r="V255" s="46"/>
      <c r="W255" s="46"/>
    </row>
    <row r="256">
      <c r="U256" s="45"/>
      <c r="V256" s="46"/>
      <c r="W256" s="46"/>
    </row>
    <row r="257">
      <c r="U257" s="45"/>
      <c r="V257" s="46"/>
      <c r="W257" s="46"/>
    </row>
    <row r="258">
      <c r="U258" s="45"/>
      <c r="V258" s="46"/>
      <c r="W258" s="46"/>
    </row>
    <row r="259">
      <c r="U259" s="45"/>
      <c r="V259" s="46"/>
      <c r="W259" s="46"/>
    </row>
    <row r="260">
      <c r="U260" s="45"/>
      <c r="V260" s="46"/>
      <c r="W260" s="46"/>
    </row>
    <row r="261">
      <c r="U261" s="45"/>
      <c r="V261" s="46"/>
      <c r="W261" s="46"/>
    </row>
    <row r="262">
      <c r="U262" s="45"/>
      <c r="V262" s="46"/>
      <c r="W262" s="46"/>
    </row>
    <row r="263">
      <c r="U263" s="45"/>
      <c r="V263" s="46"/>
      <c r="W263" s="46"/>
    </row>
    <row r="264">
      <c r="U264" s="45"/>
      <c r="V264" s="46"/>
      <c r="W264" s="46"/>
    </row>
    <row r="265">
      <c r="U265" s="45"/>
      <c r="V265" s="46"/>
      <c r="W265" s="46"/>
    </row>
    <row r="266">
      <c r="U266" s="45"/>
      <c r="V266" s="46"/>
      <c r="W266" s="46"/>
    </row>
    <row r="267">
      <c r="U267" s="45"/>
      <c r="V267" s="46"/>
      <c r="W267" s="46"/>
    </row>
    <row r="268">
      <c r="U268" s="45"/>
      <c r="V268" s="46"/>
      <c r="W268" s="46"/>
    </row>
    <row r="269">
      <c r="U269" s="45"/>
      <c r="V269" s="46"/>
      <c r="W269" s="46"/>
    </row>
    <row r="270">
      <c r="U270" s="45"/>
      <c r="V270" s="46"/>
      <c r="W270" s="46"/>
    </row>
    <row r="271">
      <c r="U271" s="45"/>
      <c r="V271" s="46"/>
      <c r="W271" s="46"/>
    </row>
    <row r="272">
      <c r="U272" s="45"/>
      <c r="V272" s="46"/>
      <c r="W272" s="46"/>
    </row>
    <row r="273">
      <c r="U273" s="45"/>
      <c r="V273" s="46"/>
      <c r="W273" s="46"/>
    </row>
    <row r="274">
      <c r="U274" s="45"/>
      <c r="V274" s="46"/>
      <c r="W274" s="46"/>
    </row>
    <row r="275">
      <c r="U275" s="45"/>
      <c r="V275" s="46"/>
      <c r="W275" s="46"/>
    </row>
    <row r="276">
      <c r="U276" s="45"/>
      <c r="V276" s="46"/>
      <c r="W276" s="46"/>
    </row>
    <row r="277">
      <c r="U277" s="45"/>
      <c r="V277" s="46"/>
      <c r="W277" s="46"/>
    </row>
    <row r="278">
      <c r="U278" s="45"/>
      <c r="V278" s="46"/>
      <c r="W278" s="46"/>
    </row>
    <row r="279">
      <c r="U279" s="45"/>
      <c r="V279" s="46"/>
      <c r="W279" s="46"/>
    </row>
    <row r="280">
      <c r="U280" s="45"/>
      <c r="V280" s="46"/>
      <c r="W280" s="46"/>
    </row>
    <row r="281">
      <c r="U281" s="45"/>
      <c r="V281" s="46"/>
      <c r="W281" s="46"/>
    </row>
    <row r="282">
      <c r="U282" s="45"/>
      <c r="V282" s="46"/>
      <c r="W282" s="46"/>
    </row>
    <row r="283">
      <c r="U283" s="45"/>
      <c r="V283" s="46"/>
      <c r="W283" s="46"/>
    </row>
    <row r="284">
      <c r="U284" s="45"/>
      <c r="V284" s="46"/>
      <c r="W284" s="46"/>
    </row>
    <row r="285">
      <c r="U285" s="45"/>
      <c r="V285" s="46"/>
      <c r="W285" s="46"/>
    </row>
    <row r="286">
      <c r="U286" s="45"/>
      <c r="V286" s="46"/>
      <c r="W286" s="46"/>
    </row>
    <row r="287">
      <c r="U287" s="45"/>
      <c r="V287" s="46"/>
      <c r="W287" s="46"/>
    </row>
    <row r="288">
      <c r="U288" s="45"/>
      <c r="V288" s="46"/>
      <c r="W288" s="46"/>
    </row>
    <row r="289">
      <c r="U289" s="45"/>
      <c r="V289" s="46"/>
      <c r="W289" s="46"/>
    </row>
    <row r="290">
      <c r="U290" s="45"/>
      <c r="V290" s="46"/>
      <c r="W290" s="46"/>
    </row>
    <row r="291">
      <c r="U291" s="45"/>
      <c r="V291" s="46"/>
      <c r="W291" s="46"/>
    </row>
    <row r="292">
      <c r="U292" s="45"/>
      <c r="V292" s="46"/>
      <c r="W292" s="46"/>
    </row>
    <row r="293">
      <c r="U293" s="45"/>
      <c r="V293" s="46"/>
      <c r="W293" s="46"/>
    </row>
    <row r="294">
      <c r="U294" s="45"/>
      <c r="V294" s="46"/>
      <c r="W294" s="46"/>
    </row>
    <row r="295">
      <c r="U295" s="45"/>
      <c r="V295" s="46"/>
      <c r="W295" s="46"/>
    </row>
    <row r="296">
      <c r="U296" s="45"/>
      <c r="V296" s="46"/>
      <c r="W296" s="46"/>
    </row>
    <row r="297">
      <c r="U297" s="45"/>
      <c r="V297" s="46"/>
      <c r="W297" s="46"/>
    </row>
    <row r="298">
      <c r="U298" s="45"/>
      <c r="V298" s="46"/>
      <c r="W298" s="46"/>
    </row>
    <row r="299">
      <c r="U299" s="45"/>
      <c r="V299" s="46"/>
      <c r="W299" s="46"/>
    </row>
    <row r="300">
      <c r="U300" s="45"/>
      <c r="V300" s="46"/>
      <c r="W300" s="46"/>
    </row>
    <row r="301">
      <c r="U301" s="45"/>
      <c r="V301" s="46"/>
      <c r="W301" s="46"/>
    </row>
    <row r="302">
      <c r="U302" s="45"/>
      <c r="V302" s="46"/>
      <c r="W302" s="46"/>
    </row>
    <row r="303">
      <c r="U303" s="45"/>
      <c r="V303" s="46"/>
      <c r="W303" s="46"/>
    </row>
    <row r="304">
      <c r="U304" s="45"/>
      <c r="V304" s="46"/>
      <c r="W304" s="46"/>
    </row>
    <row r="305">
      <c r="U305" s="45"/>
      <c r="V305" s="46"/>
      <c r="W305" s="46"/>
    </row>
    <row r="306">
      <c r="U306" s="45"/>
      <c r="V306" s="46"/>
      <c r="W306" s="46"/>
    </row>
    <row r="307">
      <c r="U307" s="45"/>
      <c r="V307" s="46"/>
      <c r="W307" s="46"/>
    </row>
    <row r="308">
      <c r="U308" s="45"/>
      <c r="V308" s="46"/>
      <c r="W308" s="46"/>
    </row>
    <row r="309">
      <c r="U309" s="45"/>
      <c r="V309" s="46"/>
      <c r="W309" s="46"/>
    </row>
    <row r="310">
      <c r="U310" s="45"/>
      <c r="V310" s="46"/>
      <c r="W310" s="46"/>
    </row>
    <row r="311">
      <c r="U311" s="45"/>
      <c r="V311" s="46"/>
      <c r="W311" s="46"/>
    </row>
    <row r="312">
      <c r="U312" s="45"/>
      <c r="V312" s="46"/>
      <c r="W312" s="46"/>
    </row>
    <row r="313">
      <c r="U313" s="45"/>
      <c r="V313" s="46"/>
      <c r="W313" s="46"/>
    </row>
    <row r="314">
      <c r="U314" s="45"/>
      <c r="V314" s="46"/>
      <c r="W314" s="46"/>
    </row>
    <row r="315">
      <c r="U315" s="45"/>
      <c r="V315" s="46"/>
      <c r="W315" s="46"/>
    </row>
    <row r="316">
      <c r="U316" s="45"/>
      <c r="V316" s="46"/>
      <c r="W316" s="46"/>
    </row>
    <row r="317">
      <c r="U317" s="45"/>
      <c r="V317" s="46"/>
      <c r="W317" s="46"/>
    </row>
    <row r="318">
      <c r="U318" s="45"/>
      <c r="V318" s="46"/>
      <c r="W318" s="46"/>
    </row>
    <row r="319">
      <c r="U319" s="45"/>
      <c r="V319" s="46"/>
      <c r="W319" s="46"/>
    </row>
    <row r="320">
      <c r="U320" s="45"/>
      <c r="V320" s="46"/>
      <c r="W320" s="46"/>
    </row>
    <row r="321">
      <c r="U321" s="45"/>
      <c r="V321" s="46"/>
      <c r="W321" s="46"/>
    </row>
    <row r="322">
      <c r="U322" s="45"/>
      <c r="V322" s="46"/>
      <c r="W322" s="46"/>
    </row>
    <row r="323">
      <c r="U323" s="45"/>
      <c r="V323" s="46"/>
      <c r="W323" s="46"/>
    </row>
    <row r="324">
      <c r="U324" s="45"/>
      <c r="V324" s="46"/>
      <c r="W324" s="46"/>
    </row>
    <row r="325">
      <c r="U325" s="45"/>
      <c r="V325" s="46"/>
      <c r="W325" s="46"/>
    </row>
    <row r="326">
      <c r="U326" s="45"/>
      <c r="V326" s="46"/>
      <c r="W326" s="46"/>
    </row>
    <row r="327">
      <c r="U327" s="45"/>
      <c r="V327" s="46"/>
      <c r="W327" s="46"/>
    </row>
    <row r="328">
      <c r="U328" s="45"/>
      <c r="V328" s="46"/>
      <c r="W328" s="46"/>
    </row>
    <row r="329">
      <c r="U329" s="45"/>
      <c r="V329" s="46"/>
      <c r="W329" s="46"/>
    </row>
    <row r="330">
      <c r="U330" s="45"/>
      <c r="V330" s="46"/>
      <c r="W330" s="46"/>
    </row>
    <row r="331">
      <c r="U331" s="45"/>
      <c r="V331" s="46"/>
      <c r="W331" s="46"/>
    </row>
    <row r="332">
      <c r="U332" s="45"/>
      <c r="V332" s="46"/>
      <c r="W332" s="46"/>
    </row>
    <row r="333">
      <c r="U333" s="45"/>
      <c r="V333" s="46"/>
      <c r="W333" s="46"/>
    </row>
    <row r="334">
      <c r="U334" s="45"/>
      <c r="V334" s="46"/>
      <c r="W334" s="46"/>
    </row>
    <row r="335">
      <c r="U335" s="45"/>
      <c r="V335" s="46"/>
      <c r="W335" s="46"/>
    </row>
    <row r="336">
      <c r="U336" s="45"/>
      <c r="V336" s="46"/>
      <c r="W336" s="46"/>
    </row>
    <row r="337">
      <c r="U337" s="45"/>
      <c r="V337" s="46"/>
      <c r="W337" s="46"/>
    </row>
    <row r="338">
      <c r="U338" s="45"/>
      <c r="V338" s="46"/>
      <c r="W338" s="46"/>
    </row>
    <row r="339">
      <c r="U339" s="45"/>
      <c r="V339" s="46"/>
      <c r="W339" s="46"/>
    </row>
    <row r="340">
      <c r="U340" s="45"/>
      <c r="V340" s="46"/>
      <c r="W340" s="46"/>
    </row>
    <row r="341">
      <c r="U341" s="45"/>
      <c r="V341" s="46"/>
      <c r="W341" s="46"/>
    </row>
    <row r="342">
      <c r="U342" s="45"/>
      <c r="V342" s="46"/>
      <c r="W342" s="46"/>
    </row>
    <row r="343">
      <c r="U343" s="45"/>
      <c r="V343" s="46"/>
      <c r="W343" s="46"/>
    </row>
    <row r="344">
      <c r="U344" s="45"/>
      <c r="V344" s="46"/>
      <c r="W344" s="46"/>
    </row>
    <row r="345">
      <c r="U345" s="45"/>
      <c r="V345" s="46"/>
      <c r="W345" s="46"/>
    </row>
    <row r="346">
      <c r="U346" s="45"/>
      <c r="V346" s="46"/>
      <c r="W346" s="46"/>
    </row>
    <row r="347">
      <c r="U347" s="45"/>
      <c r="V347" s="46"/>
      <c r="W347" s="46"/>
    </row>
    <row r="348">
      <c r="U348" s="45"/>
      <c r="V348" s="46"/>
      <c r="W348" s="46"/>
    </row>
    <row r="349">
      <c r="U349" s="45"/>
      <c r="V349" s="46"/>
      <c r="W349" s="46"/>
    </row>
    <row r="350">
      <c r="U350" s="45"/>
      <c r="V350" s="46"/>
      <c r="W350" s="46"/>
    </row>
    <row r="351">
      <c r="U351" s="45"/>
      <c r="V351" s="46"/>
      <c r="W351" s="46"/>
    </row>
    <row r="352">
      <c r="U352" s="45"/>
      <c r="V352" s="46"/>
      <c r="W352" s="46"/>
    </row>
    <row r="353">
      <c r="U353" s="45"/>
      <c r="V353" s="46"/>
      <c r="W353" s="46"/>
    </row>
    <row r="354">
      <c r="U354" s="45"/>
      <c r="V354" s="46"/>
      <c r="W354" s="46"/>
    </row>
    <row r="355">
      <c r="U355" s="45"/>
      <c r="V355" s="46"/>
      <c r="W355" s="46"/>
    </row>
    <row r="356">
      <c r="U356" s="45"/>
      <c r="V356" s="46"/>
      <c r="W356" s="46"/>
    </row>
    <row r="357">
      <c r="U357" s="45"/>
      <c r="V357" s="46"/>
      <c r="W357" s="46"/>
    </row>
    <row r="358">
      <c r="U358" s="45"/>
      <c r="V358" s="46"/>
      <c r="W358" s="46"/>
    </row>
    <row r="359">
      <c r="U359" s="45"/>
      <c r="V359" s="46"/>
      <c r="W359" s="46"/>
    </row>
    <row r="360">
      <c r="U360" s="45"/>
      <c r="V360" s="46"/>
      <c r="W360" s="46"/>
    </row>
    <row r="361">
      <c r="U361" s="45"/>
      <c r="V361" s="46"/>
      <c r="W361" s="46"/>
    </row>
    <row r="362">
      <c r="U362" s="45"/>
      <c r="V362" s="46"/>
      <c r="W362" s="46"/>
    </row>
    <row r="363">
      <c r="U363" s="45"/>
      <c r="V363" s="46"/>
      <c r="W363" s="46"/>
    </row>
    <row r="364">
      <c r="U364" s="45"/>
      <c r="V364" s="46"/>
      <c r="W364" s="46"/>
    </row>
    <row r="365">
      <c r="U365" s="45"/>
      <c r="V365" s="46"/>
      <c r="W365" s="46"/>
    </row>
    <row r="366">
      <c r="U366" s="45"/>
      <c r="V366" s="46"/>
      <c r="W366" s="46"/>
    </row>
    <row r="367">
      <c r="U367" s="45"/>
      <c r="V367" s="46"/>
      <c r="W367" s="46"/>
    </row>
    <row r="368">
      <c r="U368" s="45"/>
      <c r="V368" s="46"/>
      <c r="W368" s="46"/>
    </row>
    <row r="369">
      <c r="U369" s="45"/>
      <c r="V369" s="46"/>
      <c r="W369" s="46"/>
    </row>
    <row r="370">
      <c r="U370" s="45"/>
      <c r="V370" s="46"/>
      <c r="W370" s="46"/>
    </row>
    <row r="371">
      <c r="U371" s="45"/>
      <c r="V371" s="46"/>
      <c r="W371" s="46"/>
    </row>
    <row r="372">
      <c r="U372" s="45"/>
      <c r="V372" s="46"/>
      <c r="W372" s="46"/>
    </row>
    <row r="373">
      <c r="U373" s="45"/>
      <c r="V373" s="46"/>
      <c r="W373" s="46"/>
    </row>
    <row r="374">
      <c r="U374" s="45"/>
      <c r="V374" s="46"/>
      <c r="W374" s="46"/>
    </row>
    <row r="375">
      <c r="U375" s="45"/>
      <c r="V375" s="46"/>
      <c r="W375" s="46"/>
    </row>
    <row r="376">
      <c r="U376" s="45"/>
      <c r="V376" s="46"/>
      <c r="W376" s="46"/>
    </row>
    <row r="377">
      <c r="U377" s="45"/>
      <c r="V377" s="46"/>
      <c r="W377" s="46"/>
    </row>
    <row r="378">
      <c r="U378" s="45"/>
      <c r="V378" s="46"/>
      <c r="W378" s="46"/>
    </row>
    <row r="379">
      <c r="U379" s="45"/>
      <c r="V379" s="46"/>
      <c r="W379" s="46"/>
    </row>
    <row r="380">
      <c r="U380" s="45"/>
      <c r="V380" s="46"/>
      <c r="W380" s="46"/>
    </row>
    <row r="381">
      <c r="U381" s="45"/>
      <c r="V381" s="46"/>
      <c r="W381" s="46"/>
    </row>
    <row r="382">
      <c r="U382" s="45"/>
      <c r="V382" s="46"/>
      <c r="W382" s="46"/>
    </row>
    <row r="383">
      <c r="U383" s="45"/>
      <c r="V383" s="46"/>
      <c r="W383" s="46"/>
    </row>
    <row r="384">
      <c r="U384" s="45"/>
      <c r="V384" s="46"/>
      <c r="W384" s="46"/>
    </row>
    <row r="385">
      <c r="U385" s="45"/>
      <c r="V385" s="46"/>
      <c r="W385" s="46"/>
    </row>
    <row r="386">
      <c r="U386" s="45"/>
      <c r="V386" s="46"/>
      <c r="W386" s="46"/>
    </row>
    <row r="387">
      <c r="U387" s="45"/>
      <c r="V387" s="46"/>
      <c r="W387" s="46"/>
    </row>
    <row r="388">
      <c r="U388" s="45"/>
      <c r="V388" s="46"/>
      <c r="W388" s="46"/>
    </row>
    <row r="389">
      <c r="U389" s="45"/>
      <c r="V389" s="46"/>
      <c r="W389" s="46"/>
    </row>
    <row r="390">
      <c r="U390" s="45"/>
      <c r="V390" s="46"/>
      <c r="W390" s="46"/>
    </row>
    <row r="391">
      <c r="U391" s="45"/>
      <c r="V391" s="46"/>
      <c r="W391" s="46"/>
    </row>
    <row r="392">
      <c r="U392" s="45"/>
      <c r="V392" s="46"/>
      <c r="W392" s="46"/>
    </row>
    <row r="393">
      <c r="U393" s="45"/>
      <c r="V393" s="46"/>
      <c r="W393" s="46"/>
    </row>
    <row r="394">
      <c r="U394" s="45"/>
      <c r="V394" s="46"/>
      <c r="W394" s="46"/>
    </row>
    <row r="395">
      <c r="U395" s="45"/>
      <c r="V395" s="46"/>
      <c r="W395" s="46"/>
    </row>
    <row r="396">
      <c r="U396" s="45"/>
      <c r="V396" s="46"/>
      <c r="W396" s="46"/>
    </row>
    <row r="397">
      <c r="U397" s="45"/>
      <c r="V397" s="46"/>
      <c r="W397" s="46"/>
    </row>
    <row r="398">
      <c r="U398" s="45"/>
      <c r="V398" s="46"/>
      <c r="W398" s="46"/>
    </row>
    <row r="399">
      <c r="U399" s="45"/>
      <c r="V399" s="46"/>
      <c r="W399" s="46"/>
    </row>
    <row r="400">
      <c r="U400" s="45"/>
      <c r="V400" s="46"/>
      <c r="W400" s="46"/>
    </row>
    <row r="401">
      <c r="U401" s="45"/>
      <c r="V401" s="46"/>
      <c r="W401" s="46"/>
    </row>
    <row r="402">
      <c r="U402" s="45"/>
      <c r="V402" s="46"/>
      <c r="W402" s="46"/>
    </row>
    <row r="403">
      <c r="U403" s="45"/>
      <c r="V403" s="46"/>
      <c r="W403" s="46"/>
    </row>
    <row r="404">
      <c r="U404" s="45"/>
      <c r="V404" s="46"/>
      <c r="W404" s="46"/>
    </row>
    <row r="405">
      <c r="U405" s="45"/>
      <c r="V405" s="46"/>
      <c r="W405" s="46"/>
    </row>
    <row r="406">
      <c r="U406" s="45"/>
      <c r="V406" s="46"/>
      <c r="W406" s="46"/>
    </row>
    <row r="407">
      <c r="U407" s="45"/>
      <c r="V407" s="46"/>
      <c r="W407" s="46"/>
    </row>
    <row r="408">
      <c r="U408" s="45"/>
      <c r="V408" s="46"/>
      <c r="W408" s="46"/>
    </row>
    <row r="409">
      <c r="U409" s="45"/>
      <c r="V409" s="46"/>
      <c r="W409" s="46"/>
    </row>
    <row r="410">
      <c r="U410" s="45"/>
      <c r="V410" s="46"/>
      <c r="W410" s="46"/>
    </row>
    <row r="411">
      <c r="U411" s="45"/>
      <c r="V411" s="46"/>
      <c r="W411" s="46"/>
    </row>
    <row r="412">
      <c r="U412" s="45"/>
      <c r="V412" s="46"/>
      <c r="W412" s="46"/>
    </row>
    <row r="413">
      <c r="U413" s="45"/>
      <c r="V413" s="46"/>
      <c r="W413" s="46"/>
    </row>
    <row r="414">
      <c r="U414" s="45"/>
      <c r="V414" s="46"/>
      <c r="W414" s="46"/>
    </row>
    <row r="415">
      <c r="U415" s="45"/>
      <c r="V415" s="46"/>
      <c r="W415" s="46"/>
    </row>
    <row r="416">
      <c r="U416" s="45"/>
      <c r="V416" s="46"/>
      <c r="W416" s="46"/>
    </row>
    <row r="417">
      <c r="U417" s="45"/>
      <c r="V417" s="46"/>
      <c r="W417" s="46"/>
    </row>
    <row r="418">
      <c r="U418" s="45"/>
      <c r="V418" s="46"/>
      <c r="W418" s="46"/>
    </row>
    <row r="419">
      <c r="U419" s="45"/>
      <c r="V419" s="46"/>
      <c r="W419" s="46"/>
    </row>
    <row r="420">
      <c r="U420" s="45"/>
      <c r="V420" s="46"/>
      <c r="W420" s="46"/>
    </row>
    <row r="421">
      <c r="U421" s="45"/>
      <c r="V421" s="46"/>
      <c r="W421" s="46"/>
    </row>
    <row r="422">
      <c r="U422" s="45"/>
      <c r="V422" s="46"/>
      <c r="W422" s="46"/>
    </row>
    <row r="423">
      <c r="U423" s="45"/>
      <c r="V423" s="46"/>
      <c r="W423" s="46"/>
    </row>
    <row r="424">
      <c r="U424" s="45"/>
      <c r="V424" s="46"/>
      <c r="W424" s="46"/>
    </row>
    <row r="425">
      <c r="U425" s="45"/>
      <c r="V425" s="46"/>
      <c r="W425" s="46"/>
    </row>
    <row r="426">
      <c r="U426" s="45"/>
      <c r="V426" s="46"/>
      <c r="W426" s="46"/>
    </row>
    <row r="427">
      <c r="U427" s="45"/>
      <c r="V427" s="46"/>
      <c r="W427" s="46"/>
    </row>
    <row r="428">
      <c r="U428" s="45"/>
      <c r="V428" s="46"/>
      <c r="W428" s="46"/>
    </row>
    <row r="429">
      <c r="U429" s="45"/>
      <c r="V429" s="46"/>
      <c r="W429" s="46"/>
    </row>
    <row r="430">
      <c r="U430" s="45"/>
      <c r="V430" s="46"/>
      <c r="W430" s="46"/>
    </row>
    <row r="431">
      <c r="U431" s="45"/>
      <c r="V431" s="46"/>
      <c r="W431" s="46"/>
    </row>
    <row r="432">
      <c r="U432" s="45"/>
      <c r="V432" s="46"/>
      <c r="W432" s="46"/>
    </row>
    <row r="433">
      <c r="U433" s="45"/>
      <c r="V433" s="46"/>
      <c r="W433" s="46"/>
    </row>
    <row r="434">
      <c r="U434" s="45"/>
      <c r="V434" s="46"/>
      <c r="W434" s="46"/>
    </row>
    <row r="435">
      <c r="U435" s="45"/>
      <c r="V435" s="46"/>
      <c r="W435" s="46"/>
    </row>
    <row r="436">
      <c r="U436" s="45"/>
      <c r="V436" s="46"/>
      <c r="W436" s="46"/>
    </row>
    <row r="437">
      <c r="U437" s="45"/>
      <c r="V437" s="46"/>
      <c r="W437" s="46"/>
    </row>
    <row r="438">
      <c r="U438" s="45"/>
      <c r="V438" s="46"/>
      <c r="W438" s="46"/>
    </row>
    <row r="439">
      <c r="U439" s="45"/>
      <c r="V439" s="46"/>
      <c r="W439" s="46"/>
    </row>
    <row r="440">
      <c r="U440" s="45"/>
      <c r="V440" s="46"/>
      <c r="W440" s="46"/>
    </row>
    <row r="441">
      <c r="U441" s="45"/>
      <c r="V441" s="46"/>
      <c r="W441" s="46"/>
    </row>
    <row r="442">
      <c r="U442" s="45"/>
      <c r="V442" s="46"/>
      <c r="W442" s="46"/>
    </row>
    <row r="443">
      <c r="U443" s="45"/>
      <c r="V443" s="46"/>
      <c r="W443" s="46"/>
    </row>
    <row r="444">
      <c r="U444" s="45"/>
      <c r="V444" s="46"/>
      <c r="W444" s="46"/>
    </row>
    <row r="445">
      <c r="U445" s="45"/>
      <c r="V445" s="46"/>
      <c r="W445" s="46"/>
    </row>
    <row r="446">
      <c r="U446" s="45"/>
      <c r="V446" s="46"/>
      <c r="W446" s="46"/>
    </row>
    <row r="447">
      <c r="U447" s="45"/>
      <c r="V447" s="46"/>
      <c r="W447" s="46"/>
    </row>
    <row r="448">
      <c r="U448" s="45"/>
      <c r="V448" s="46"/>
      <c r="W448" s="46"/>
    </row>
    <row r="449">
      <c r="U449" s="45"/>
      <c r="V449" s="46"/>
      <c r="W449" s="46"/>
    </row>
    <row r="450">
      <c r="U450" s="45"/>
      <c r="V450" s="46"/>
      <c r="W450" s="46"/>
    </row>
    <row r="451">
      <c r="U451" s="45"/>
      <c r="V451" s="46"/>
      <c r="W451" s="46"/>
    </row>
    <row r="452">
      <c r="U452" s="45"/>
      <c r="V452" s="46"/>
      <c r="W452" s="46"/>
    </row>
    <row r="453">
      <c r="U453" s="45"/>
      <c r="V453" s="46"/>
      <c r="W453" s="46"/>
    </row>
    <row r="454">
      <c r="U454" s="45"/>
      <c r="V454" s="46"/>
      <c r="W454" s="46"/>
    </row>
    <row r="455">
      <c r="U455" s="45"/>
      <c r="V455" s="46"/>
      <c r="W455" s="46"/>
    </row>
    <row r="456">
      <c r="U456" s="45"/>
      <c r="V456" s="46"/>
      <c r="W456" s="46"/>
    </row>
    <row r="457">
      <c r="U457" s="45"/>
      <c r="V457" s="46"/>
      <c r="W457" s="46"/>
    </row>
    <row r="458">
      <c r="U458" s="45"/>
      <c r="V458" s="46"/>
      <c r="W458" s="46"/>
    </row>
    <row r="459">
      <c r="U459" s="45"/>
      <c r="V459" s="46"/>
      <c r="W459" s="46"/>
    </row>
    <row r="460">
      <c r="U460" s="45"/>
      <c r="V460" s="46"/>
      <c r="W460" s="46"/>
    </row>
    <row r="461">
      <c r="U461" s="45"/>
      <c r="V461" s="46"/>
      <c r="W461" s="46"/>
    </row>
    <row r="462">
      <c r="U462" s="45"/>
      <c r="V462" s="46"/>
      <c r="W462" s="46"/>
    </row>
    <row r="463">
      <c r="U463" s="45"/>
      <c r="V463" s="46"/>
      <c r="W463" s="46"/>
    </row>
    <row r="464">
      <c r="U464" s="45"/>
      <c r="V464" s="46"/>
      <c r="W464" s="46"/>
    </row>
    <row r="465">
      <c r="U465" s="45"/>
      <c r="V465" s="46"/>
      <c r="W465" s="46"/>
    </row>
    <row r="466">
      <c r="U466" s="45"/>
      <c r="V466" s="46"/>
      <c r="W466" s="46"/>
    </row>
    <row r="467">
      <c r="U467" s="45"/>
      <c r="V467" s="46"/>
      <c r="W467" s="46"/>
    </row>
    <row r="468">
      <c r="U468" s="45"/>
      <c r="V468" s="46"/>
      <c r="W468" s="46"/>
    </row>
    <row r="469">
      <c r="U469" s="45"/>
      <c r="V469" s="46"/>
      <c r="W469" s="46"/>
    </row>
    <row r="470">
      <c r="U470" s="45"/>
      <c r="V470" s="46"/>
      <c r="W470" s="46"/>
    </row>
    <row r="471">
      <c r="U471" s="45"/>
      <c r="V471" s="46"/>
      <c r="W471" s="46"/>
    </row>
    <row r="472">
      <c r="U472" s="45"/>
      <c r="V472" s="46"/>
      <c r="W472" s="46"/>
    </row>
    <row r="473">
      <c r="U473" s="45"/>
      <c r="V473" s="46"/>
      <c r="W473" s="46"/>
    </row>
    <row r="474">
      <c r="U474" s="45"/>
      <c r="V474" s="46"/>
      <c r="W474" s="46"/>
    </row>
    <row r="475">
      <c r="U475" s="45"/>
      <c r="V475" s="46"/>
      <c r="W475" s="46"/>
    </row>
    <row r="476">
      <c r="U476" s="45"/>
      <c r="V476" s="46"/>
      <c r="W476" s="46"/>
    </row>
    <row r="477">
      <c r="U477" s="45"/>
      <c r="V477" s="46"/>
      <c r="W477" s="46"/>
    </row>
    <row r="478">
      <c r="U478" s="45"/>
      <c r="V478" s="46"/>
      <c r="W478" s="46"/>
    </row>
    <row r="479">
      <c r="U479" s="45"/>
      <c r="V479" s="46"/>
      <c r="W479" s="46"/>
    </row>
    <row r="480">
      <c r="U480" s="45"/>
      <c r="V480" s="46"/>
      <c r="W480" s="46"/>
    </row>
    <row r="481">
      <c r="U481" s="45"/>
      <c r="V481" s="46"/>
      <c r="W481" s="46"/>
    </row>
    <row r="482">
      <c r="U482" s="45"/>
      <c r="V482" s="46"/>
      <c r="W482" s="46"/>
    </row>
    <row r="483">
      <c r="U483" s="45"/>
      <c r="V483" s="46"/>
      <c r="W483" s="46"/>
    </row>
    <row r="484">
      <c r="U484" s="45"/>
      <c r="V484" s="46"/>
      <c r="W484" s="46"/>
    </row>
    <row r="485">
      <c r="U485" s="45"/>
      <c r="V485" s="46"/>
      <c r="W485" s="46"/>
    </row>
    <row r="486">
      <c r="U486" s="45"/>
      <c r="V486" s="46"/>
      <c r="W486" s="46"/>
    </row>
    <row r="487">
      <c r="U487" s="45"/>
      <c r="V487" s="46"/>
      <c r="W487" s="46"/>
    </row>
    <row r="488">
      <c r="U488" s="45"/>
      <c r="V488" s="46"/>
      <c r="W488" s="46"/>
    </row>
    <row r="489">
      <c r="U489" s="45"/>
      <c r="V489" s="46"/>
      <c r="W489" s="46"/>
    </row>
    <row r="490">
      <c r="U490" s="45"/>
      <c r="V490" s="46"/>
      <c r="W490" s="46"/>
    </row>
    <row r="491">
      <c r="U491" s="45"/>
      <c r="V491" s="46"/>
      <c r="W491" s="46"/>
    </row>
    <row r="492">
      <c r="U492" s="45"/>
      <c r="V492" s="46"/>
      <c r="W492" s="46"/>
    </row>
    <row r="493">
      <c r="U493" s="45"/>
      <c r="V493" s="46"/>
      <c r="W493" s="46"/>
    </row>
    <row r="494">
      <c r="U494" s="45"/>
      <c r="V494" s="46"/>
      <c r="W494" s="46"/>
    </row>
    <row r="495">
      <c r="U495" s="45"/>
      <c r="V495" s="46"/>
      <c r="W495" s="46"/>
    </row>
    <row r="496">
      <c r="U496" s="45"/>
      <c r="V496" s="46"/>
      <c r="W496" s="46"/>
    </row>
    <row r="497">
      <c r="U497" s="45"/>
      <c r="V497" s="46"/>
      <c r="W497" s="46"/>
    </row>
    <row r="498">
      <c r="U498" s="45"/>
      <c r="V498" s="46"/>
      <c r="W498" s="46"/>
    </row>
    <row r="499">
      <c r="U499" s="45"/>
      <c r="V499" s="46"/>
      <c r="W499" s="46"/>
    </row>
    <row r="500">
      <c r="U500" s="45"/>
      <c r="V500" s="46"/>
      <c r="W500" s="46"/>
    </row>
    <row r="501">
      <c r="U501" s="45"/>
      <c r="V501" s="46"/>
      <c r="W501" s="46"/>
    </row>
    <row r="502">
      <c r="U502" s="45"/>
      <c r="V502" s="46"/>
      <c r="W502" s="46"/>
    </row>
    <row r="503">
      <c r="U503" s="45"/>
      <c r="V503" s="46"/>
      <c r="W503" s="46"/>
    </row>
    <row r="504">
      <c r="U504" s="45"/>
      <c r="V504" s="46"/>
      <c r="W504" s="46"/>
    </row>
    <row r="505">
      <c r="U505" s="45"/>
      <c r="V505" s="46"/>
      <c r="W505" s="46"/>
    </row>
    <row r="506">
      <c r="U506" s="45"/>
      <c r="V506" s="46"/>
      <c r="W506" s="46"/>
    </row>
    <row r="507">
      <c r="U507" s="45"/>
      <c r="V507" s="46"/>
      <c r="W507" s="46"/>
    </row>
    <row r="508">
      <c r="U508" s="45"/>
      <c r="V508" s="46"/>
      <c r="W508" s="46"/>
    </row>
    <row r="509">
      <c r="U509" s="45"/>
      <c r="V509" s="46"/>
      <c r="W509" s="46"/>
    </row>
    <row r="510">
      <c r="U510" s="45"/>
      <c r="V510" s="46"/>
      <c r="W510" s="46"/>
    </row>
    <row r="511">
      <c r="U511" s="45"/>
      <c r="V511" s="46"/>
      <c r="W511" s="46"/>
    </row>
    <row r="512">
      <c r="U512" s="45"/>
      <c r="V512" s="46"/>
      <c r="W512" s="46"/>
    </row>
    <row r="513">
      <c r="U513" s="45"/>
      <c r="V513" s="46"/>
      <c r="W513" s="46"/>
    </row>
    <row r="514">
      <c r="U514" s="45"/>
      <c r="V514" s="46"/>
      <c r="W514" s="46"/>
    </row>
    <row r="515">
      <c r="U515" s="45"/>
      <c r="V515" s="46"/>
      <c r="W515" s="46"/>
    </row>
    <row r="516">
      <c r="U516" s="45"/>
      <c r="V516" s="46"/>
      <c r="W516" s="46"/>
    </row>
    <row r="517">
      <c r="U517" s="45"/>
      <c r="V517" s="46"/>
      <c r="W517" s="46"/>
    </row>
    <row r="518">
      <c r="U518" s="45"/>
      <c r="V518" s="46"/>
      <c r="W518" s="46"/>
    </row>
    <row r="519">
      <c r="U519" s="45"/>
      <c r="V519" s="46"/>
      <c r="W519" s="46"/>
    </row>
    <row r="520">
      <c r="U520" s="45"/>
      <c r="V520" s="46"/>
      <c r="W520" s="46"/>
    </row>
    <row r="521">
      <c r="U521" s="45"/>
      <c r="V521" s="46"/>
      <c r="W521" s="46"/>
    </row>
    <row r="522">
      <c r="U522" s="45"/>
      <c r="V522" s="46"/>
      <c r="W522" s="46"/>
    </row>
    <row r="523">
      <c r="U523" s="45"/>
      <c r="V523" s="46"/>
      <c r="W523" s="46"/>
    </row>
    <row r="524">
      <c r="U524" s="45"/>
      <c r="V524" s="46"/>
      <c r="W524" s="46"/>
    </row>
    <row r="525">
      <c r="U525" s="45"/>
      <c r="V525" s="46"/>
      <c r="W525" s="46"/>
    </row>
    <row r="526">
      <c r="U526" s="45"/>
      <c r="V526" s="46"/>
      <c r="W526" s="46"/>
    </row>
    <row r="527">
      <c r="U527" s="45"/>
      <c r="V527" s="46"/>
      <c r="W527" s="46"/>
    </row>
    <row r="528">
      <c r="U528" s="45"/>
      <c r="V528" s="46"/>
      <c r="W528" s="46"/>
    </row>
    <row r="529">
      <c r="U529" s="45"/>
      <c r="V529" s="46"/>
      <c r="W529" s="46"/>
    </row>
    <row r="530">
      <c r="U530" s="45"/>
      <c r="V530" s="46"/>
      <c r="W530" s="46"/>
    </row>
    <row r="531">
      <c r="U531" s="45"/>
      <c r="V531" s="46"/>
      <c r="W531" s="46"/>
    </row>
    <row r="532">
      <c r="U532" s="45"/>
      <c r="V532" s="46"/>
      <c r="W532" s="46"/>
    </row>
    <row r="533">
      <c r="U533" s="45"/>
      <c r="V533" s="46"/>
      <c r="W533" s="46"/>
    </row>
    <row r="534">
      <c r="U534" s="45"/>
      <c r="V534" s="46"/>
      <c r="W534" s="46"/>
    </row>
    <row r="535">
      <c r="U535" s="45"/>
      <c r="V535" s="46"/>
      <c r="W535" s="46"/>
    </row>
    <row r="536">
      <c r="U536" s="45"/>
      <c r="V536" s="46"/>
      <c r="W536" s="46"/>
    </row>
    <row r="537">
      <c r="U537" s="45"/>
      <c r="V537" s="46"/>
      <c r="W537" s="46"/>
    </row>
    <row r="538">
      <c r="U538" s="45"/>
      <c r="V538" s="46"/>
      <c r="W538" s="46"/>
    </row>
    <row r="539">
      <c r="U539" s="45"/>
      <c r="V539" s="46"/>
      <c r="W539" s="46"/>
    </row>
    <row r="540">
      <c r="U540" s="45"/>
      <c r="V540" s="46"/>
      <c r="W540" s="46"/>
    </row>
    <row r="541">
      <c r="U541" s="45"/>
      <c r="V541" s="46"/>
      <c r="W541" s="46"/>
    </row>
    <row r="542">
      <c r="U542" s="45"/>
      <c r="V542" s="46"/>
      <c r="W542" s="46"/>
    </row>
    <row r="543">
      <c r="U543" s="45"/>
      <c r="V543" s="46"/>
      <c r="W543" s="46"/>
    </row>
    <row r="544">
      <c r="U544" s="45"/>
      <c r="V544" s="46"/>
      <c r="W544" s="46"/>
    </row>
    <row r="545">
      <c r="U545" s="45"/>
      <c r="V545" s="46"/>
      <c r="W545" s="46"/>
    </row>
    <row r="546">
      <c r="U546" s="45"/>
      <c r="V546" s="46"/>
      <c r="W546" s="46"/>
    </row>
    <row r="547">
      <c r="U547" s="45"/>
      <c r="V547" s="46"/>
      <c r="W547" s="46"/>
    </row>
    <row r="548">
      <c r="U548" s="45"/>
      <c r="V548" s="46"/>
      <c r="W548" s="46"/>
    </row>
    <row r="549">
      <c r="U549" s="45"/>
      <c r="V549" s="46"/>
      <c r="W549" s="46"/>
    </row>
    <row r="550">
      <c r="U550" s="45"/>
      <c r="V550" s="46"/>
      <c r="W550" s="46"/>
    </row>
    <row r="551">
      <c r="U551" s="45"/>
      <c r="V551" s="46"/>
      <c r="W551" s="46"/>
    </row>
    <row r="552">
      <c r="U552" s="45"/>
      <c r="V552" s="46"/>
      <c r="W552" s="46"/>
    </row>
    <row r="553">
      <c r="U553" s="45"/>
      <c r="V553" s="46"/>
      <c r="W553" s="46"/>
    </row>
    <row r="554">
      <c r="U554" s="45"/>
      <c r="V554" s="46"/>
      <c r="W554" s="46"/>
    </row>
    <row r="555">
      <c r="U555" s="45"/>
      <c r="V555" s="46"/>
      <c r="W555" s="46"/>
    </row>
    <row r="556">
      <c r="U556" s="45"/>
      <c r="V556" s="46"/>
      <c r="W556" s="46"/>
    </row>
    <row r="557">
      <c r="U557" s="45"/>
      <c r="V557" s="46"/>
      <c r="W557" s="46"/>
    </row>
    <row r="558">
      <c r="U558" s="45"/>
      <c r="V558" s="46"/>
      <c r="W558" s="46"/>
    </row>
    <row r="559">
      <c r="U559" s="45"/>
      <c r="V559" s="46"/>
      <c r="W559" s="46"/>
    </row>
    <row r="560">
      <c r="U560" s="45"/>
      <c r="V560" s="46"/>
      <c r="W560" s="46"/>
    </row>
    <row r="561">
      <c r="U561" s="45"/>
      <c r="V561" s="46"/>
      <c r="W561" s="46"/>
    </row>
    <row r="562">
      <c r="U562" s="45"/>
      <c r="V562" s="46"/>
      <c r="W562" s="46"/>
    </row>
    <row r="563">
      <c r="U563" s="45"/>
      <c r="V563" s="46"/>
      <c r="W563" s="46"/>
    </row>
    <row r="564">
      <c r="U564" s="45"/>
      <c r="V564" s="46"/>
      <c r="W564" s="46"/>
    </row>
    <row r="565">
      <c r="U565" s="45"/>
      <c r="V565" s="46"/>
      <c r="W565" s="46"/>
    </row>
    <row r="566">
      <c r="U566" s="45"/>
      <c r="V566" s="46"/>
      <c r="W566" s="46"/>
    </row>
    <row r="567">
      <c r="U567" s="45"/>
      <c r="V567" s="46"/>
      <c r="W567" s="46"/>
    </row>
    <row r="568">
      <c r="U568" s="45"/>
      <c r="V568" s="46"/>
      <c r="W568" s="46"/>
    </row>
    <row r="569">
      <c r="U569" s="45"/>
      <c r="V569" s="46"/>
      <c r="W569" s="46"/>
    </row>
    <row r="570">
      <c r="U570" s="45"/>
      <c r="V570" s="46"/>
      <c r="W570" s="46"/>
    </row>
    <row r="571">
      <c r="U571" s="45"/>
      <c r="V571" s="46"/>
      <c r="W571" s="46"/>
    </row>
    <row r="572">
      <c r="U572" s="45"/>
      <c r="V572" s="46"/>
      <c r="W572" s="46"/>
    </row>
    <row r="573">
      <c r="U573" s="45"/>
      <c r="V573" s="46"/>
      <c r="W573" s="46"/>
    </row>
    <row r="574">
      <c r="U574" s="45"/>
      <c r="V574" s="46"/>
      <c r="W574" s="46"/>
    </row>
    <row r="575">
      <c r="U575" s="45"/>
      <c r="V575" s="46"/>
      <c r="W575" s="46"/>
    </row>
    <row r="576">
      <c r="U576" s="45"/>
      <c r="V576" s="46"/>
      <c r="W576" s="46"/>
    </row>
    <row r="577">
      <c r="U577" s="45"/>
      <c r="V577" s="46"/>
      <c r="W577" s="46"/>
    </row>
    <row r="578">
      <c r="U578" s="45"/>
      <c r="V578" s="46"/>
      <c r="W578" s="46"/>
    </row>
    <row r="579">
      <c r="U579" s="45"/>
      <c r="V579" s="46"/>
      <c r="W579" s="46"/>
    </row>
    <row r="580">
      <c r="U580" s="45"/>
      <c r="V580" s="46"/>
      <c r="W580" s="46"/>
    </row>
    <row r="581">
      <c r="U581" s="45"/>
      <c r="V581" s="46"/>
      <c r="W581" s="46"/>
    </row>
    <row r="582">
      <c r="U582" s="45"/>
      <c r="V582" s="46"/>
      <c r="W582" s="46"/>
    </row>
    <row r="583">
      <c r="U583" s="45"/>
      <c r="V583" s="46"/>
      <c r="W583" s="46"/>
    </row>
    <row r="584">
      <c r="U584" s="45"/>
      <c r="V584" s="46"/>
      <c r="W584" s="46"/>
    </row>
    <row r="585">
      <c r="U585" s="45"/>
      <c r="V585" s="46"/>
      <c r="W585" s="46"/>
    </row>
    <row r="586">
      <c r="U586" s="45"/>
      <c r="V586" s="46"/>
      <c r="W586" s="46"/>
    </row>
    <row r="587">
      <c r="U587" s="45"/>
      <c r="V587" s="46"/>
      <c r="W587" s="46"/>
    </row>
    <row r="588">
      <c r="U588" s="45"/>
      <c r="V588" s="46"/>
      <c r="W588" s="46"/>
    </row>
    <row r="589">
      <c r="U589" s="45"/>
      <c r="V589" s="46"/>
      <c r="W589" s="46"/>
    </row>
    <row r="590">
      <c r="U590" s="45"/>
      <c r="V590" s="46"/>
      <c r="W590" s="46"/>
    </row>
    <row r="591">
      <c r="U591" s="45"/>
      <c r="V591" s="46"/>
      <c r="W591" s="46"/>
    </row>
    <row r="592">
      <c r="U592" s="45"/>
      <c r="V592" s="46"/>
      <c r="W592" s="46"/>
    </row>
    <row r="593">
      <c r="U593" s="45"/>
      <c r="V593" s="46"/>
      <c r="W593" s="46"/>
    </row>
    <row r="594">
      <c r="U594" s="45"/>
      <c r="V594" s="46"/>
      <c r="W594" s="46"/>
    </row>
    <row r="595">
      <c r="U595" s="45"/>
      <c r="V595" s="46"/>
      <c r="W595" s="46"/>
    </row>
    <row r="596">
      <c r="U596" s="45"/>
      <c r="V596" s="46"/>
      <c r="W596" s="46"/>
    </row>
    <row r="597">
      <c r="U597" s="45"/>
      <c r="V597" s="46"/>
      <c r="W597" s="46"/>
    </row>
    <row r="598">
      <c r="U598" s="45"/>
      <c r="V598" s="46"/>
      <c r="W598" s="46"/>
    </row>
    <row r="599">
      <c r="U599" s="45"/>
      <c r="V599" s="46"/>
      <c r="W599" s="46"/>
    </row>
    <row r="600">
      <c r="U600" s="45"/>
      <c r="V600" s="46"/>
      <c r="W600" s="46"/>
    </row>
    <row r="601">
      <c r="U601" s="45"/>
      <c r="V601" s="46"/>
      <c r="W601" s="46"/>
    </row>
    <row r="602">
      <c r="U602" s="45"/>
      <c r="V602" s="46"/>
      <c r="W602" s="46"/>
    </row>
    <row r="603">
      <c r="U603" s="45"/>
      <c r="V603" s="46"/>
      <c r="W603" s="46"/>
    </row>
    <row r="604">
      <c r="U604" s="45"/>
      <c r="V604" s="46"/>
      <c r="W604" s="46"/>
    </row>
    <row r="605">
      <c r="U605" s="45"/>
      <c r="V605" s="46"/>
      <c r="W605" s="46"/>
    </row>
    <row r="606">
      <c r="U606" s="45"/>
      <c r="V606" s="46"/>
      <c r="W606" s="46"/>
    </row>
    <row r="607">
      <c r="U607" s="45"/>
      <c r="V607" s="46"/>
      <c r="W607" s="46"/>
    </row>
    <row r="608">
      <c r="U608" s="45"/>
      <c r="V608" s="46"/>
      <c r="W608" s="46"/>
    </row>
    <row r="609">
      <c r="U609" s="45"/>
      <c r="V609" s="46"/>
      <c r="W609" s="46"/>
    </row>
    <row r="610">
      <c r="U610" s="45"/>
      <c r="V610" s="46"/>
      <c r="W610" s="46"/>
    </row>
    <row r="611">
      <c r="U611" s="45"/>
      <c r="V611" s="46"/>
      <c r="W611" s="46"/>
    </row>
    <row r="612">
      <c r="U612" s="45"/>
      <c r="V612" s="46"/>
      <c r="W612" s="46"/>
    </row>
    <row r="613">
      <c r="U613" s="45"/>
      <c r="V613" s="46"/>
      <c r="W613" s="46"/>
    </row>
    <row r="614">
      <c r="U614" s="45"/>
      <c r="V614" s="46"/>
      <c r="W614" s="46"/>
    </row>
    <row r="615">
      <c r="U615" s="45"/>
      <c r="V615" s="46"/>
      <c r="W615" s="46"/>
    </row>
    <row r="616">
      <c r="U616" s="45"/>
      <c r="V616" s="46"/>
      <c r="W616" s="46"/>
    </row>
    <row r="617">
      <c r="U617" s="45"/>
      <c r="V617" s="46"/>
      <c r="W617" s="46"/>
    </row>
    <row r="618">
      <c r="U618" s="45"/>
      <c r="V618" s="46"/>
      <c r="W618" s="46"/>
    </row>
    <row r="619">
      <c r="U619" s="45"/>
      <c r="V619" s="46"/>
      <c r="W619" s="46"/>
    </row>
    <row r="620">
      <c r="U620" s="45"/>
      <c r="V620" s="46"/>
      <c r="W620" s="46"/>
    </row>
    <row r="621">
      <c r="U621" s="45"/>
      <c r="V621" s="46"/>
      <c r="W621" s="46"/>
    </row>
    <row r="622">
      <c r="U622" s="45"/>
      <c r="V622" s="46"/>
      <c r="W622" s="46"/>
    </row>
    <row r="623">
      <c r="U623" s="45"/>
      <c r="V623" s="46"/>
      <c r="W623" s="46"/>
    </row>
    <row r="624">
      <c r="U624" s="45"/>
      <c r="V624" s="46"/>
      <c r="W624" s="46"/>
    </row>
    <row r="625">
      <c r="U625" s="45"/>
      <c r="V625" s="46"/>
      <c r="W625" s="46"/>
    </row>
    <row r="626">
      <c r="U626" s="45"/>
      <c r="V626" s="46"/>
      <c r="W626" s="46"/>
    </row>
    <row r="627">
      <c r="U627" s="45"/>
      <c r="V627" s="46"/>
      <c r="W627" s="46"/>
    </row>
    <row r="628">
      <c r="U628" s="45"/>
      <c r="V628" s="46"/>
      <c r="W628" s="46"/>
    </row>
    <row r="629">
      <c r="U629" s="45"/>
      <c r="V629" s="46"/>
      <c r="W629" s="46"/>
    </row>
    <row r="630">
      <c r="U630" s="45"/>
      <c r="V630" s="46"/>
      <c r="W630" s="46"/>
    </row>
    <row r="631">
      <c r="U631" s="45"/>
      <c r="V631" s="46"/>
      <c r="W631" s="46"/>
    </row>
    <row r="632">
      <c r="U632" s="45"/>
      <c r="V632" s="46"/>
      <c r="W632" s="46"/>
    </row>
    <row r="633">
      <c r="U633" s="45"/>
      <c r="V633" s="46"/>
      <c r="W633" s="46"/>
    </row>
    <row r="634">
      <c r="U634" s="45"/>
      <c r="V634" s="46"/>
      <c r="W634" s="46"/>
    </row>
    <row r="635">
      <c r="U635" s="45"/>
      <c r="V635" s="46"/>
      <c r="W635" s="46"/>
    </row>
    <row r="636">
      <c r="U636" s="45"/>
      <c r="V636" s="46"/>
      <c r="W636" s="46"/>
    </row>
    <row r="637">
      <c r="U637" s="45"/>
      <c r="V637" s="46"/>
      <c r="W637" s="46"/>
    </row>
    <row r="638">
      <c r="U638" s="45"/>
      <c r="V638" s="46"/>
      <c r="W638" s="46"/>
    </row>
    <row r="639">
      <c r="U639" s="45"/>
      <c r="V639" s="46"/>
      <c r="W639" s="46"/>
    </row>
    <row r="640">
      <c r="U640" s="45"/>
      <c r="V640" s="46"/>
      <c r="W640" s="46"/>
    </row>
    <row r="641">
      <c r="U641" s="45"/>
      <c r="V641" s="46"/>
      <c r="W641" s="46"/>
    </row>
    <row r="642">
      <c r="U642" s="45"/>
      <c r="V642" s="46"/>
      <c r="W642" s="46"/>
    </row>
    <row r="643">
      <c r="U643" s="45"/>
      <c r="V643" s="46"/>
      <c r="W643" s="46"/>
    </row>
    <row r="644">
      <c r="U644" s="45"/>
      <c r="V644" s="46"/>
      <c r="W644" s="46"/>
    </row>
    <row r="645">
      <c r="U645" s="45"/>
      <c r="V645" s="46"/>
      <c r="W645" s="46"/>
    </row>
    <row r="646">
      <c r="U646" s="45"/>
      <c r="V646" s="46"/>
      <c r="W646" s="46"/>
    </row>
    <row r="647">
      <c r="U647" s="45"/>
      <c r="V647" s="46"/>
      <c r="W647" s="46"/>
    </row>
    <row r="648">
      <c r="U648" s="45"/>
      <c r="V648" s="46"/>
      <c r="W648" s="46"/>
    </row>
    <row r="649">
      <c r="U649" s="45"/>
      <c r="V649" s="46"/>
      <c r="W649" s="46"/>
    </row>
    <row r="650">
      <c r="U650" s="45"/>
      <c r="V650" s="46"/>
      <c r="W650" s="46"/>
    </row>
    <row r="651">
      <c r="U651" s="45"/>
      <c r="V651" s="46"/>
      <c r="W651" s="46"/>
    </row>
    <row r="652">
      <c r="U652" s="45"/>
      <c r="V652" s="46"/>
      <c r="W652" s="46"/>
    </row>
    <row r="653">
      <c r="U653" s="45"/>
      <c r="V653" s="46"/>
      <c r="W653" s="46"/>
    </row>
    <row r="654">
      <c r="U654" s="45"/>
      <c r="V654" s="46"/>
      <c r="W654" s="46"/>
    </row>
    <row r="655">
      <c r="U655" s="45"/>
      <c r="V655" s="46"/>
      <c r="W655" s="46"/>
    </row>
    <row r="656">
      <c r="U656" s="45"/>
      <c r="V656" s="46"/>
      <c r="W656" s="46"/>
    </row>
    <row r="657">
      <c r="U657" s="45"/>
      <c r="V657" s="46"/>
      <c r="W657" s="46"/>
    </row>
    <row r="658">
      <c r="U658" s="45"/>
      <c r="V658" s="46"/>
      <c r="W658" s="46"/>
    </row>
    <row r="659">
      <c r="U659" s="45"/>
      <c r="V659" s="46"/>
      <c r="W659" s="46"/>
    </row>
    <row r="660">
      <c r="U660" s="45"/>
      <c r="V660" s="46"/>
      <c r="W660" s="46"/>
    </row>
    <row r="661">
      <c r="U661" s="45"/>
      <c r="V661" s="46"/>
      <c r="W661" s="46"/>
    </row>
    <row r="662">
      <c r="U662" s="45"/>
      <c r="V662" s="46"/>
      <c r="W662" s="46"/>
    </row>
    <row r="663">
      <c r="U663" s="45"/>
      <c r="V663" s="46"/>
      <c r="W663" s="46"/>
    </row>
    <row r="664">
      <c r="U664" s="45"/>
      <c r="V664" s="46"/>
      <c r="W664" s="46"/>
    </row>
    <row r="665">
      <c r="U665" s="45"/>
      <c r="V665" s="46"/>
      <c r="W665" s="46"/>
    </row>
    <row r="666">
      <c r="U666" s="45"/>
      <c r="V666" s="46"/>
      <c r="W666" s="46"/>
    </row>
    <row r="667">
      <c r="U667" s="45"/>
      <c r="V667" s="46"/>
      <c r="W667" s="46"/>
    </row>
    <row r="668">
      <c r="U668" s="45"/>
      <c r="V668" s="46"/>
      <c r="W668" s="46"/>
    </row>
    <row r="669">
      <c r="U669" s="45"/>
      <c r="V669" s="46"/>
      <c r="W669" s="46"/>
    </row>
    <row r="670">
      <c r="U670" s="45"/>
      <c r="V670" s="46"/>
      <c r="W670" s="46"/>
    </row>
    <row r="671">
      <c r="U671" s="45"/>
      <c r="V671" s="46"/>
      <c r="W671" s="46"/>
    </row>
    <row r="672">
      <c r="U672" s="45"/>
      <c r="V672" s="46"/>
      <c r="W672" s="46"/>
    </row>
    <row r="673">
      <c r="U673" s="45"/>
      <c r="V673" s="46"/>
      <c r="W673" s="46"/>
    </row>
    <row r="674">
      <c r="U674" s="45"/>
      <c r="V674" s="46"/>
      <c r="W674" s="46"/>
    </row>
    <row r="675">
      <c r="U675" s="45"/>
      <c r="V675" s="46"/>
      <c r="W675" s="46"/>
    </row>
    <row r="676">
      <c r="U676" s="45"/>
      <c r="V676" s="46"/>
      <c r="W676" s="46"/>
    </row>
    <row r="677">
      <c r="U677" s="45"/>
      <c r="V677" s="46"/>
      <c r="W677" s="46"/>
    </row>
    <row r="678">
      <c r="U678" s="45"/>
      <c r="V678" s="46"/>
      <c r="W678" s="46"/>
    </row>
    <row r="679">
      <c r="U679" s="45"/>
      <c r="V679" s="46"/>
      <c r="W679" s="46"/>
    </row>
    <row r="680">
      <c r="U680" s="45"/>
      <c r="V680" s="46"/>
      <c r="W680" s="46"/>
    </row>
    <row r="681">
      <c r="U681" s="45"/>
      <c r="V681" s="46"/>
      <c r="W681" s="46"/>
    </row>
    <row r="682">
      <c r="U682" s="45"/>
      <c r="V682" s="46"/>
      <c r="W682" s="46"/>
    </row>
    <row r="683">
      <c r="U683" s="45"/>
      <c r="V683" s="46"/>
      <c r="W683" s="46"/>
    </row>
    <row r="684">
      <c r="U684" s="45"/>
      <c r="V684" s="46"/>
      <c r="W684" s="46"/>
    </row>
    <row r="685">
      <c r="U685" s="45"/>
      <c r="V685" s="46"/>
      <c r="W685" s="46"/>
    </row>
    <row r="686">
      <c r="U686" s="45"/>
      <c r="V686" s="46"/>
      <c r="W686" s="46"/>
    </row>
    <row r="687">
      <c r="U687" s="45"/>
      <c r="V687" s="46"/>
      <c r="W687" s="46"/>
    </row>
    <row r="688">
      <c r="U688" s="45"/>
      <c r="V688" s="46"/>
      <c r="W688" s="46"/>
    </row>
    <row r="689">
      <c r="U689" s="45"/>
      <c r="V689" s="46"/>
      <c r="W689" s="46"/>
    </row>
    <row r="690">
      <c r="U690" s="45"/>
      <c r="V690" s="46"/>
      <c r="W690" s="46"/>
    </row>
    <row r="691">
      <c r="U691" s="45"/>
      <c r="V691" s="46"/>
      <c r="W691" s="46"/>
    </row>
    <row r="692">
      <c r="U692" s="45"/>
      <c r="V692" s="46"/>
      <c r="W692" s="46"/>
    </row>
    <row r="693">
      <c r="U693" s="45"/>
      <c r="V693" s="46"/>
      <c r="W693" s="46"/>
    </row>
    <row r="694">
      <c r="U694" s="45"/>
      <c r="V694" s="46"/>
      <c r="W694" s="46"/>
    </row>
    <row r="695">
      <c r="U695" s="45"/>
      <c r="V695" s="46"/>
      <c r="W695" s="46"/>
    </row>
    <row r="696">
      <c r="U696" s="45"/>
      <c r="V696" s="46"/>
      <c r="W696" s="46"/>
    </row>
    <row r="697">
      <c r="U697" s="45"/>
      <c r="V697" s="46"/>
      <c r="W697" s="46"/>
    </row>
    <row r="698">
      <c r="U698" s="45"/>
      <c r="V698" s="46"/>
      <c r="W698" s="46"/>
    </row>
    <row r="699">
      <c r="U699" s="45"/>
      <c r="V699" s="46"/>
      <c r="W699" s="46"/>
    </row>
    <row r="700">
      <c r="U700" s="45"/>
      <c r="V700" s="46"/>
      <c r="W700" s="46"/>
    </row>
    <row r="701">
      <c r="U701" s="45"/>
      <c r="V701" s="46"/>
      <c r="W701" s="46"/>
    </row>
    <row r="702">
      <c r="U702" s="45"/>
      <c r="V702" s="46"/>
      <c r="W702" s="46"/>
    </row>
    <row r="703">
      <c r="U703" s="45"/>
      <c r="V703" s="46"/>
      <c r="W703" s="46"/>
    </row>
    <row r="704">
      <c r="U704" s="45"/>
      <c r="V704" s="46"/>
      <c r="W704" s="46"/>
    </row>
    <row r="705">
      <c r="U705" s="45"/>
      <c r="V705" s="46"/>
      <c r="W705" s="46"/>
    </row>
    <row r="706">
      <c r="U706" s="45"/>
      <c r="V706" s="46"/>
      <c r="W706" s="46"/>
    </row>
    <row r="707">
      <c r="U707" s="45"/>
      <c r="V707" s="46"/>
      <c r="W707" s="46"/>
    </row>
    <row r="708">
      <c r="U708" s="45"/>
      <c r="V708" s="46"/>
      <c r="W708" s="46"/>
    </row>
    <row r="709">
      <c r="U709" s="45"/>
      <c r="V709" s="46"/>
      <c r="W709" s="46"/>
    </row>
    <row r="710">
      <c r="U710" s="45"/>
      <c r="V710" s="46"/>
      <c r="W710" s="46"/>
    </row>
    <row r="711">
      <c r="U711" s="45"/>
      <c r="V711" s="46"/>
      <c r="W711" s="46"/>
    </row>
    <row r="712">
      <c r="U712" s="45"/>
      <c r="V712" s="46"/>
      <c r="W712" s="46"/>
    </row>
    <row r="713">
      <c r="U713" s="45"/>
      <c r="V713" s="46"/>
      <c r="W713" s="46"/>
    </row>
    <row r="714">
      <c r="U714" s="45"/>
      <c r="V714" s="46"/>
      <c r="W714" s="46"/>
    </row>
    <row r="715">
      <c r="U715" s="45"/>
      <c r="V715" s="46"/>
      <c r="W715" s="46"/>
    </row>
    <row r="716">
      <c r="U716" s="45"/>
      <c r="V716" s="46"/>
      <c r="W716" s="46"/>
    </row>
    <row r="717">
      <c r="U717" s="45"/>
      <c r="V717" s="46"/>
      <c r="W717" s="46"/>
    </row>
    <row r="718">
      <c r="U718" s="45"/>
      <c r="V718" s="46"/>
      <c r="W718" s="46"/>
    </row>
    <row r="719">
      <c r="U719" s="45"/>
      <c r="V719" s="46"/>
      <c r="W719" s="46"/>
    </row>
    <row r="720">
      <c r="U720" s="45"/>
      <c r="V720" s="46"/>
      <c r="W720" s="46"/>
    </row>
    <row r="721">
      <c r="U721" s="45"/>
      <c r="V721" s="46"/>
      <c r="W721" s="46"/>
    </row>
    <row r="722">
      <c r="U722" s="45"/>
      <c r="V722" s="46"/>
      <c r="W722" s="46"/>
    </row>
    <row r="723">
      <c r="U723" s="45"/>
      <c r="V723" s="46"/>
      <c r="W723" s="46"/>
    </row>
    <row r="724">
      <c r="U724" s="45"/>
      <c r="V724" s="46"/>
      <c r="W724" s="46"/>
    </row>
    <row r="725">
      <c r="U725" s="45"/>
      <c r="V725" s="46"/>
      <c r="W725" s="46"/>
    </row>
    <row r="726">
      <c r="U726" s="45"/>
      <c r="V726" s="46"/>
      <c r="W726" s="46"/>
    </row>
    <row r="727">
      <c r="U727" s="45"/>
      <c r="V727" s="46"/>
      <c r="W727" s="46"/>
    </row>
    <row r="728">
      <c r="U728" s="45"/>
      <c r="V728" s="46"/>
      <c r="W728" s="46"/>
    </row>
    <row r="729">
      <c r="U729" s="45"/>
      <c r="V729" s="46"/>
      <c r="W729" s="46"/>
    </row>
    <row r="730">
      <c r="U730" s="45"/>
      <c r="V730" s="46"/>
      <c r="W730" s="46"/>
    </row>
    <row r="731">
      <c r="U731" s="45"/>
      <c r="V731" s="46"/>
      <c r="W731" s="46"/>
    </row>
    <row r="732">
      <c r="U732" s="45"/>
      <c r="V732" s="46"/>
      <c r="W732" s="46"/>
    </row>
    <row r="733">
      <c r="U733" s="45"/>
      <c r="V733" s="46"/>
      <c r="W733" s="46"/>
    </row>
    <row r="734">
      <c r="U734" s="45"/>
      <c r="V734" s="46"/>
      <c r="W734" s="46"/>
    </row>
    <row r="735">
      <c r="U735" s="45"/>
      <c r="V735" s="46"/>
      <c r="W735" s="46"/>
    </row>
    <row r="736">
      <c r="U736" s="45"/>
      <c r="V736" s="46"/>
      <c r="W736" s="46"/>
    </row>
    <row r="737">
      <c r="U737" s="45"/>
      <c r="V737" s="46"/>
      <c r="W737" s="46"/>
    </row>
    <row r="738">
      <c r="U738" s="45"/>
      <c r="V738" s="46"/>
      <c r="W738" s="46"/>
    </row>
    <row r="739">
      <c r="U739" s="45"/>
      <c r="V739" s="46"/>
      <c r="W739" s="46"/>
    </row>
    <row r="740">
      <c r="U740" s="45"/>
      <c r="V740" s="46"/>
      <c r="W740" s="46"/>
    </row>
    <row r="741">
      <c r="U741" s="45"/>
      <c r="V741" s="46"/>
      <c r="W741" s="46"/>
    </row>
    <row r="742">
      <c r="U742" s="45"/>
      <c r="V742" s="46"/>
      <c r="W742" s="46"/>
    </row>
    <row r="743">
      <c r="U743" s="45"/>
      <c r="V743" s="46"/>
      <c r="W743" s="46"/>
    </row>
    <row r="744">
      <c r="U744" s="45"/>
      <c r="V744" s="46"/>
      <c r="W744" s="46"/>
    </row>
    <row r="745">
      <c r="U745" s="45"/>
      <c r="V745" s="46"/>
      <c r="W745" s="46"/>
    </row>
    <row r="746">
      <c r="U746" s="45"/>
      <c r="V746" s="46"/>
      <c r="W746" s="46"/>
    </row>
    <row r="747">
      <c r="U747" s="45"/>
      <c r="V747" s="46"/>
      <c r="W747" s="46"/>
    </row>
    <row r="748">
      <c r="U748" s="45"/>
      <c r="V748" s="46"/>
      <c r="W748" s="46"/>
    </row>
    <row r="749">
      <c r="U749" s="45"/>
      <c r="V749" s="46"/>
      <c r="W749" s="46"/>
    </row>
    <row r="750">
      <c r="U750" s="45"/>
      <c r="V750" s="46"/>
      <c r="W750" s="46"/>
    </row>
    <row r="751">
      <c r="U751" s="45"/>
      <c r="V751" s="46"/>
      <c r="W751" s="46"/>
    </row>
    <row r="752">
      <c r="U752" s="45"/>
      <c r="V752" s="46"/>
      <c r="W752" s="46"/>
    </row>
    <row r="753">
      <c r="U753" s="45"/>
      <c r="V753" s="46"/>
      <c r="W753" s="46"/>
    </row>
    <row r="754">
      <c r="U754" s="45"/>
      <c r="V754" s="46"/>
      <c r="W754" s="46"/>
    </row>
    <row r="755">
      <c r="U755" s="45"/>
      <c r="V755" s="46"/>
      <c r="W755" s="46"/>
    </row>
    <row r="756">
      <c r="U756" s="45"/>
      <c r="V756" s="46"/>
      <c r="W756" s="46"/>
    </row>
    <row r="757">
      <c r="U757" s="45"/>
      <c r="V757" s="46"/>
      <c r="W757" s="46"/>
    </row>
    <row r="758">
      <c r="U758" s="45"/>
      <c r="V758" s="46"/>
      <c r="W758" s="46"/>
    </row>
    <row r="759">
      <c r="U759" s="45"/>
      <c r="V759" s="46"/>
      <c r="W759" s="46"/>
    </row>
    <row r="760">
      <c r="U760" s="45"/>
      <c r="V760" s="46"/>
      <c r="W760" s="46"/>
    </row>
    <row r="761">
      <c r="U761" s="45"/>
      <c r="V761" s="46"/>
      <c r="W761" s="46"/>
    </row>
    <row r="762">
      <c r="U762" s="45"/>
      <c r="V762" s="46"/>
      <c r="W762" s="46"/>
    </row>
    <row r="763">
      <c r="U763" s="45"/>
      <c r="V763" s="46"/>
      <c r="W763" s="46"/>
    </row>
    <row r="764">
      <c r="U764" s="45"/>
      <c r="V764" s="46"/>
      <c r="W764" s="46"/>
    </row>
    <row r="765">
      <c r="U765" s="45"/>
      <c r="V765" s="46"/>
      <c r="W765" s="46"/>
    </row>
    <row r="766">
      <c r="U766" s="45"/>
      <c r="V766" s="46"/>
      <c r="W766" s="46"/>
    </row>
    <row r="767">
      <c r="U767" s="45"/>
      <c r="V767" s="46"/>
      <c r="W767" s="46"/>
    </row>
    <row r="768">
      <c r="U768" s="45"/>
      <c r="V768" s="46"/>
      <c r="W768" s="46"/>
    </row>
    <row r="769">
      <c r="U769" s="45"/>
      <c r="V769" s="46"/>
      <c r="W769" s="46"/>
    </row>
    <row r="770">
      <c r="U770" s="45"/>
      <c r="V770" s="46"/>
      <c r="W770" s="46"/>
    </row>
    <row r="771">
      <c r="U771" s="45"/>
      <c r="V771" s="46"/>
      <c r="W771" s="46"/>
    </row>
    <row r="772">
      <c r="U772" s="45"/>
      <c r="V772" s="46"/>
      <c r="W772" s="46"/>
    </row>
    <row r="773">
      <c r="U773" s="45"/>
      <c r="V773" s="46"/>
      <c r="W773" s="46"/>
    </row>
    <row r="774">
      <c r="U774" s="45"/>
      <c r="V774" s="46"/>
      <c r="W774" s="46"/>
    </row>
    <row r="775">
      <c r="U775" s="45"/>
      <c r="V775" s="46"/>
      <c r="W775" s="46"/>
    </row>
    <row r="776">
      <c r="U776" s="45"/>
      <c r="V776" s="46"/>
      <c r="W776" s="46"/>
    </row>
    <row r="777">
      <c r="U777" s="45"/>
      <c r="V777" s="46"/>
      <c r="W777" s="46"/>
    </row>
    <row r="778">
      <c r="U778" s="45"/>
      <c r="V778" s="46"/>
      <c r="W778" s="46"/>
    </row>
    <row r="779">
      <c r="U779" s="45"/>
      <c r="V779" s="46"/>
      <c r="W779" s="46"/>
    </row>
    <row r="780">
      <c r="U780" s="45"/>
      <c r="V780" s="46"/>
      <c r="W780" s="46"/>
    </row>
    <row r="781">
      <c r="U781" s="45"/>
      <c r="V781" s="46"/>
      <c r="W781" s="46"/>
    </row>
    <row r="782">
      <c r="U782" s="45"/>
      <c r="V782" s="46"/>
      <c r="W782" s="46"/>
    </row>
    <row r="783">
      <c r="U783" s="45"/>
      <c r="V783" s="46"/>
      <c r="W783" s="46"/>
    </row>
    <row r="784">
      <c r="U784" s="45"/>
      <c r="V784" s="46"/>
      <c r="W784" s="46"/>
    </row>
    <row r="785">
      <c r="U785" s="45"/>
      <c r="V785" s="46"/>
      <c r="W785" s="46"/>
    </row>
    <row r="786">
      <c r="U786" s="45"/>
      <c r="V786" s="46"/>
      <c r="W786" s="46"/>
    </row>
    <row r="787">
      <c r="U787" s="45"/>
      <c r="V787" s="46"/>
      <c r="W787" s="46"/>
    </row>
    <row r="788">
      <c r="U788" s="45"/>
      <c r="V788" s="46"/>
      <c r="W788" s="46"/>
    </row>
    <row r="789">
      <c r="U789" s="45"/>
      <c r="V789" s="46"/>
      <c r="W789" s="46"/>
    </row>
    <row r="790">
      <c r="U790" s="45"/>
      <c r="V790" s="46"/>
      <c r="W790" s="46"/>
    </row>
    <row r="791">
      <c r="U791" s="45"/>
      <c r="V791" s="46"/>
      <c r="W791" s="46"/>
    </row>
    <row r="792">
      <c r="U792" s="45"/>
      <c r="V792" s="46"/>
      <c r="W792" s="46"/>
    </row>
    <row r="793">
      <c r="U793" s="45"/>
      <c r="V793" s="46"/>
      <c r="W793" s="46"/>
    </row>
    <row r="794">
      <c r="U794" s="45"/>
      <c r="V794" s="46"/>
      <c r="W794" s="46"/>
    </row>
    <row r="795">
      <c r="U795" s="45"/>
      <c r="V795" s="46"/>
      <c r="W795" s="46"/>
    </row>
    <row r="796">
      <c r="U796" s="45"/>
      <c r="V796" s="46"/>
      <c r="W796" s="46"/>
    </row>
    <row r="797">
      <c r="U797" s="45"/>
      <c r="V797" s="46"/>
      <c r="W797" s="46"/>
    </row>
    <row r="798">
      <c r="U798" s="45"/>
      <c r="V798" s="46"/>
      <c r="W798" s="46"/>
    </row>
    <row r="799">
      <c r="U799" s="45"/>
      <c r="V799" s="46"/>
      <c r="W799" s="46"/>
    </row>
    <row r="800">
      <c r="U800" s="45"/>
      <c r="V800" s="46"/>
      <c r="W800" s="46"/>
    </row>
    <row r="801">
      <c r="U801" s="45"/>
      <c r="V801" s="46"/>
      <c r="W801" s="46"/>
    </row>
    <row r="802">
      <c r="U802" s="45"/>
      <c r="V802" s="46"/>
      <c r="W802" s="46"/>
    </row>
    <row r="803">
      <c r="U803" s="45"/>
      <c r="V803" s="46"/>
      <c r="W803" s="46"/>
    </row>
    <row r="804">
      <c r="U804" s="45"/>
      <c r="V804" s="46"/>
      <c r="W804" s="46"/>
    </row>
    <row r="805">
      <c r="U805" s="45"/>
      <c r="V805" s="46"/>
      <c r="W805" s="46"/>
    </row>
    <row r="806">
      <c r="U806" s="45"/>
      <c r="V806" s="46"/>
      <c r="W806" s="46"/>
    </row>
    <row r="807">
      <c r="U807" s="45"/>
      <c r="V807" s="46"/>
      <c r="W807" s="46"/>
    </row>
    <row r="808">
      <c r="U808" s="45"/>
      <c r="V808" s="46"/>
      <c r="W808" s="46"/>
    </row>
    <row r="809">
      <c r="U809" s="45"/>
      <c r="V809" s="46"/>
      <c r="W809" s="46"/>
    </row>
    <row r="810">
      <c r="U810" s="45"/>
      <c r="V810" s="46"/>
      <c r="W810" s="46"/>
    </row>
    <row r="811">
      <c r="U811" s="45"/>
      <c r="V811" s="46"/>
      <c r="W811" s="46"/>
    </row>
    <row r="812">
      <c r="U812" s="45"/>
      <c r="V812" s="46"/>
      <c r="W812" s="46"/>
    </row>
    <row r="813">
      <c r="U813" s="45"/>
      <c r="V813" s="46"/>
      <c r="W813" s="46"/>
    </row>
    <row r="814">
      <c r="U814" s="45"/>
      <c r="V814" s="46"/>
      <c r="W814" s="46"/>
    </row>
    <row r="815">
      <c r="U815" s="45"/>
      <c r="V815" s="46"/>
      <c r="W815" s="46"/>
    </row>
    <row r="816">
      <c r="U816" s="45"/>
      <c r="V816" s="46"/>
      <c r="W816" s="46"/>
    </row>
    <row r="817">
      <c r="U817" s="45"/>
      <c r="V817" s="46"/>
      <c r="W817" s="46"/>
    </row>
    <row r="818">
      <c r="U818" s="45"/>
      <c r="V818" s="46"/>
      <c r="W818" s="46"/>
    </row>
    <row r="819">
      <c r="U819" s="45"/>
      <c r="V819" s="46"/>
      <c r="W819" s="46"/>
    </row>
    <row r="820">
      <c r="U820" s="45"/>
      <c r="V820" s="46"/>
      <c r="W820" s="46"/>
    </row>
    <row r="821">
      <c r="U821" s="45"/>
      <c r="V821" s="46"/>
      <c r="W821" s="46"/>
    </row>
    <row r="822">
      <c r="U822" s="45"/>
      <c r="V822" s="46"/>
      <c r="W822" s="46"/>
    </row>
    <row r="823">
      <c r="U823" s="45"/>
      <c r="V823" s="46"/>
      <c r="W823" s="46"/>
    </row>
    <row r="824">
      <c r="U824" s="45"/>
      <c r="V824" s="46"/>
      <c r="W824" s="46"/>
    </row>
    <row r="825">
      <c r="U825" s="45"/>
      <c r="V825" s="46"/>
      <c r="W825" s="46"/>
    </row>
    <row r="826">
      <c r="U826" s="45"/>
      <c r="V826" s="46"/>
      <c r="W826" s="46"/>
    </row>
    <row r="827">
      <c r="U827" s="45"/>
      <c r="V827" s="46"/>
      <c r="W827" s="46"/>
    </row>
    <row r="828">
      <c r="U828" s="45"/>
      <c r="V828" s="46"/>
      <c r="W828" s="46"/>
    </row>
    <row r="829">
      <c r="U829" s="45"/>
      <c r="V829" s="46"/>
      <c r="W829" s="46"/>
    </row>
    <row r="830">
      <c r="U830" s="45"/>
      <c r="V830" s="46"/>
      <c r="W830" s="46"/>
    </row>
    <row r="831">
      <c r="U831" s="45"/>
      <c r="V831" s="46"/>
      <c r="W831" s="46"/>
    </row>
    <row r="832">
      <c r="U832" s="45"/>
      <c r="V832" s="46"/>
      <c r="W832" s="46"/>
    </row>
    <row r="833">
      <c r="U833" s="45"/>
      <c r="V833" s="46"/>
      <c r="W833" s="46"/>
    </row>
    <row r="834">
      <c r="U834" s="45"/>
      <c r="V834" s="46"/>
      <c r="W834" s="46"/>
    </row>
    <row r="835">
      <c r="U835" s="45"/>
      <c r="V835" s="46"/>
      <c r="W835" s="46"/>
    </row>
    <row r="836">
      <c r="U836" s="45"/>
      <c r="V836" s="46"/>
      <c r="W836" s="46"/>
    </row>
    <row r="837">
      <c r="U837" s="45"/>
      <c r="V837" s="46"/>
      <c r="W837" s="46"/>
    </row>
    <row r="838">
      <c r="U838" s="45"/>
      <c r="V838" s="46"/>
      <c r="W838" s="46"/>
    </row>
    <row r="839">
      <c r="U839" s="45"/>
      <c r="V839" s="46"/>
      <c r="W839" s="46"/>
    </row>
    <row r="840">
      <c r="U840" s="45"/>
      <c r="V840" s="46"/>
      <c r="W840" s="46"/>
    </row>
    <row r="841">
      <c r="U841" s="45"/>
      <c r="V841" s="46"/>
      <c r="W841" s="46"/>
    </row>
    <row r="842">
      <c r="U842" s="45"/>
      <c r="V842" s="46"/>
      <c r="W842" s="46"/>
    </row>
    <row r="843">
      <c r="U843" s="45"/>
      <c r="V843" s="46"/>
      <c r="W843" s="46"/>
    </row>
    <row r="844">
      <c r="U844" s="45"/>
      <c r="V844" s="46"/>
      <c r="W844" s="46"/>
    </row>
    <row r="845">
      <c r="U845" s="45"/>
      <c r="V845" s="46"/>
      <c r="W845" s="46"/>
    </row>
    <row r="846">
      <c r="U846" s="45"/>
      <c r="V846" s="46"/>
      <c r="W846" s="46"/>
    </row>
    <row r="847">
      <c r="U847" s="45"/>
      <c r="V847" s="46"/>
      <c r="W847" s="46"/>
    </row>
    <row r="848">
      <c r="U848" s="45"/>
      <c r="V848" s="46"/>
      <c r="W848" s="46"/>
    </row>
    <row r="849">
      <c r="U849" s="45"/>
      <c r="V849" s="46"/>
      <c r="W849" s="46"/>
    </row>
    <row r="850">
      <c r="U850" s="45"/>
      <c r="V850" s="46"/>
      <c r="W850" s="46"/>
    </row>
    <row r="851">
      <c r="U851" s="45"/>
      <c r="V851" s="46"/>
      <c r="W851" s="46"/>
    </row>
    <row r="852">
      <c r="U852" s="45"/>
      <c r="V852" s="46"/>
      <c r="W852" s="46"/>
    </row>
    <row r="853">
      <c r="U853" s="45"/>
      <c r="V853" s="46"/>
      <c r="W853" s="46"/>
    </row>
    <row r="854">
      <c r="U854" s="45"/>
      <c r="V854" s="46"/>
      <c r="W854" s="46"/>
    </row>
    <row r="855">
      <c r="U855" s="45"/>
      <c r="V855" s="46"/>
      <c r="W855" s="46"/>
    </row>
    <row r="856">
      <c r="U856" s="45"/>
      <c r="V856" s="46"/>
      <c r="W856" s="46"/>
    </row>
    <row r="857">
      <c r="U857" s="45"/>
      <c r="V857" s="46"/>
      <c r="W857" s="46"/>
    </row>
    <row r="858">
      <c r="U858" s="45"/>
      <c r="V858" s="46"/>
      <c r="W858" s="46"/>
    </row>
    <row r="859">
      <c r="U859" s="45"/>
      <c r="V859" s="46"/>
      <c r="W859" s="46"/>
    </row>
    <row r="860">
      <c r="U860" s="45"/>
      <c r="V860" s="46"/>
      <c r="W860" s="46"/>
    </row>
    <row r="861">
      <c r="U861" s="45"/>
      <c r="V861" s="46"/>
      <c r="W861" s="46"/>
    </row>
    <row r="862">
      <c r="U862" s="45"/>
      <c r="V862" s="46"/>
      <c r="W862" s="46"/>
    </row>
    <row r="863">
      <c r="U863" s="45"/>
      <c r="V863" s="46"/>
      <c r="W863" s="46"/>
    </row>
    <row r="864">
      <c r="U864" s="45"/>
      <c r="V864" s="46"/>
      <c r="W864" s="46"/>
    </row>
    <row r="865">
      <c r="U865" s="45"/>
      <c r="V865" s="46"/>
      <c r="W865" s="46"/>
    </row>
    <row r="866">
      <c r="U866" s="45"/>
      <c r="V866" s="46"/>
      <c r="W866" s="46"/>
    </row>
    <row r="867">
      <c r="U867" s="45"/>
      <c r="V867" s="46"/>
      <c r="W867" s="46"/>
    </row>
    <row r="868">
      <c r="U868" s="45"/>
      <c r="V868" s="46"/>
      <c r="W868" s="46"/>
    </row>
    <row r="869">
      <c r="U869" s="45"/>
      <c r="V869" s="46"/>
      <c r="W869" s="46"/>
    </row>
    <row r="870">
      <c r="U870" s="45"/>
      <c r="V870" s="46"/>
      <c r="W870" s="46"/>
    </row>
    <row r="871">
      <c r="U871" s="45"/>
      <c r="V871" s="46"/>
      <c r="W871" s="46"/>
    </row>
    <row r="872">
      <c r="U872" s="45"/>
      <c r="V872" s="46"/>
      <c r="W872" s="46"/>
    </row>
    <row r="873">
      <c r="U873" s="45"/>
      <c r="V873" s="46"/>
      <c r="W873" s="46"/>
    </row>
    <row r="874">
      <c r="U874" s="45"/>
      <c r="V874" s="46"/>
      <c r="W874" s="46"/>
    </row>
    <row r="875">
      <c r="U875" s="45"/>
      <c r="V875" s="46"/>
      <c r="W875" s="46"/>
    </row>
    <row r="876">
      <c r="U876" s="45"/>
      <c r="V876" s="46"/>
      <c r="W876" s="46"/>
    </row>
    <row r="877">
      <c r="U877" s="45"/>
      <c r="V877" s="46"/>
      <c r="W877" s="46"/>
    </row>
    <row r="878">
      <c r="U878" s="45"/>
      <c r="V878" s="46"/>
      <c r="W878" s="46"/>
    </row>
    <row r="879">
      <c r="U879" s="45"/>
      <c r="V879" s="46"/>
      <c r="W879" s="46"/>
    </row>
    <row r="880">
      <c r="U880" s="45"/>
      <c r="V880" s="46"/>
      <c r="W880" s="46"/>
    </row>
    <row r="881">
      <c r="U881" s="45"/>
      <c r="V881" s="46"/>
      <c r="W881" s="46"/>
    </row>
    <row r="882">
      <c r="U882" s="45"/>
      <c r="V882" s="46"/>
      <c r="W882" s="46"/>
    </row>
    <row r="883">
      <c r="U883" s="45"/>
      <c r="V883" s="46"/>
      <c r="W883" s="46"/>
    </row>
    <row r="884">
      <c r="U884" s="45"/>
      <c r="V884" s="46"/>
      <c r="W884" s="46"/>
    </row>
    <row r="885">
      <c r="U885" s="45"/>
      <c r="V885" s="46"/>
      <c r="W885" s="46"/>
    </row>
    <row r="886">
      <c r="U886" s="45"/>
      <c r="V886" s="46"/>
      <c r="W886" s="46"/>
    </row>
    <row r="887">
      <c r="U887" s="45"/>
      <c r="V887" s="46"/>
      <c r="W887" s="46"/>
    </row>
    <row r="888">
      <c r="U888" s="45"/>
      <c r="V888" s="46"/>
      <c r="W888" s="46"/>
    </row>
    <row r="889">
      <c r="U889" s="45"/>
      <c r="V889" s="46"/>
      <c r="W889" s="46"/>
    </row>
    <row r="890">
      <c r="U890" s="45"/>
      <c r="V890" s="46"/>
      <c r="W890" s="46"/>
    </row>
    <row r="891">
      <c r="U891" s="45"/>
      <c r="V891" s="46"/>
      <c r="W891" s="46"/>
    </row>
    <row r="892">
      <c r="U892" s="45"/>
      <c r="V892" s="46"/>
      <c r="W892" s="46"/>
    </row>
    <row r="893">
      <c r="U893" s="45"/>
      <c r="V893" s="46"/>
      <c r="W893" s="46"/>
    </row>
    <row r="894">
      <c r="U894" s="45"/>
      <c r="V894" s="46"/>
      <c r="W894" s="46"/>
    </row>
    <row r="895">
      <c r="U895" s="45"/>
      <c r="V895" s="46"/>
      <c r="W895" s="46"/>
    </row>
    <row r="896">
      <c r="U896" s="45"/>
      <c r="V896" s="46"/>
      <c r="W896" s="46"/>
    </row>
    <row r="897">
      <c r="U897" s="45"/>
      <c r="V897" s="46"/>
      <c r="W897" s="46"/>
    </row>
    <row r="898">
      <c r="U898" s="45"/>
      <c r="V898" s="46"/>
      <c r="W898" s="46"/>
    </row>
    <row r="899">
      <c r="U899" s="45"/>
      <c r="V899" s="46"/>
      <c r="W899" s="46"/>
    </row>
    <row r="900">
      <c r="U900" s="45"/>
      <c r="V900" s="46"/>
      <c r="W900" s="46"/>
    </row>
    <row r="901">
      <c r="U901" s="45"/>
      <c r="V901" s="46"/>
      <c r="W901" s="46"/>
    </row>
    <row r="902">
      <c r="U902" s="45"/>
      <c r="V902" s="46"/>
      <c r="W902" s="46"/>
    </row>
    <row r="903">
      <c r="U903" s="45"/>
      <c r="V903" s="46"/>
      <c r="W903" s="46"/>
    </row>
    <row r="904">
      <c r="U904" s="45"/>
      <c r="V904" s="46"/>
      <c r="W904" s="46"/>
    </row>
    <row r="905">
      <c r="U905" s="45"/>
      <c r="V905" s="46"/>
      <c r="W905" s="46"/>
    </row>
    <row r="906">
      <c r="U906" s="45"/>
      <c r="V906" s="46"/>
      <c r="W906" s="46"/>
    </row>
    <row r="907">
      <c r="U907" s="45"/>
      <c r="V907" s="46"/>
      <c r="W907" s="46"/>
    </row>
    <row r="908">
      <c r="U908" s="45"/>
      <c r="V908" s="46"/>
      <c r="W908" s="46"/>
    </row>
    <row r="909">
      <c r="U909" s="45"/>
      <c r="V909" s="46"/>
      <c r="W909" s="46"/>
    </row>
    <row r="910">
      <c r="U910" s="45"/>
      <c r="V910" s="46"/>
      <c r="W910" s="46"/>
    </row>
    <row r="911">
      <c r="U911" s="45"/>
      <c r="V911" s="46"/>
      <c r="W911" s="46"/>
    </row>
    <row r="912">
      <c r="U912" s="45"/>
      <c r="V912" s="46"/>
      <c r="W912" s="46"/>
    </row>
    <row r="913">
      <c r="U913" s="45"/>
      <c r="V913" s="46"/>
      <c r="W913" s="46"/>
    </row>
    <row r="914">
      <c r="U914" s="45"/>
      <c r="V914" s="46"/>
      <c r="W914" s="46"/>
    </row>
    <row r="915">
      <c r="U915" s="45"/>
      <c r="V915" s="46"/>
      <c r="W915" s="46"/>
    </row>
    <row r="916">
      <c r="U916" s="45"/>
      <c r="V916" s="46"/>
      <c r="W916" s="46"/>
    </row>
    <row r="917">
      <c r="U917" s="45"/>
      <c r="V917" s="46"/>
      <c r="W917" s="46"/>
    </row>
    <row r="918">
      <c r="U918" s="45"/>
      <c r="V918" s="46"/>
      <c r="W918" s="46"/>
    </row>
    <row r="919">
      <c r="U919" s="45"/>
      <c r="V919" s="46"/>
      <c r="W919" s="46"/>
    </row>
    <row r="920">
      <c r="U920" s="45"/>
      <c r="V920" s="46"/>
      <c r="W920" s="46"/>
    </row>
    <row r="921">
      <c r="U921" s="45"/>
      <c r="V921" s="46"/>
      <c r="W921" s="46"/>
    </row>
    <row r="922">
      <c r="U922" s="45"/>
      <c r="V922" s="46"/>
      <c r="W922" s="46"/>
    </row>
    <row r="923">
      <c r="U923" s="45"/>
      <c r="V923" s="46"/>
      <c r="W923" s="46"/>
    </row>
    <row r="924">
      <c r="U924" s="45"/>
      <c r="V924" s="46"/>
      <c r="W924" s="46"/>
    </row>
    <row r="925">
      <c r="U925" s="45"/>
      <c r="V925" s="46"/>
      <c r="W925" s="46"/>
    </row>
    <row r="926">
      <c r="U926" s="45"/>
      <c r="V926" s="46"/>
      <c r="W926" s="46"/>
    </row>
    <row r="927">
      <c r="U927" s="45"/>
      <c r="V927" s="46"/>
      <c r="W927" s="46"/>
    </row>
    <row r="928">
      <c r="U928" s="45"/>
      <c r="V928" s="46"/>
      <c r="W928" s="46"/>
    </row>
    <row r="929">
      <c r="U929" s="45"/>
      <c r="V929" s="46"/>
      <c r="W929" s="46"/>
    </row>
    <row r="930">
      <c r="U930" s="45"/>
      <c r="V930" s="46"/>
      <c r="W930" s="46"/>
    </row>
    <row r="931">
      <c r="U931" s="45"/>
      <c r="V931" s="46"/>
      <c r="W931" s="46"/>
    </row>
    <row r="932">
      <c r="U932" s="45"/>
      <c r="V932" s="46"/>
      <c r="W932" s="46"/>
    </row>
    <row r="933">
      <c r="U933" s="45"/>
      <c r="V933" s="46"/>
      <c r="W933" s="46"/>
    </row>
    <row r="934">
      <c r="U934" s="45"/>
      <c r="V934" s="46"/>
      <c r="W934" s="46"/>
    </row>
    <row r="935">
      <c r="U935" s="45"/>
      <c r="V935" s="46"/>
      <c r="W935" s="46"/>
    </row>
    <row r="936">
      <c r="U936" s="45"/>
      <c r="V936" s="46"/>
      <c r="W936" s="46"/>
    </row>
    <row r="937">
      <c r="U937" s="45"/>
      <c r="V937" s="46"/>
      <c r="W937" s="46"/>
    </row>
    <row r="938">
      <c r="U938" s="45"/>
      <c r="V938" s="46"/>
      <c r="W938" s="46"/>
    </row>
    <row r="939">
      <c r="U939" s="45"/>
      <c r="V939" s="46"/>
      <c r="W939" s="46"/>
    </row>
    <row r="940">
      <c r="U940" s="45"/>
      <c r="V940" s="46"/>
      <c r="W940" s="46"/>
    </row>
    <row r="941">
      <c r="U941" s="45"/>
      <c r="V941" s="46"/>
      <c r="W941" s="46"/>
    </row>
    <row r="942">
      <c r="U942" s="45"/>
      <c r="V942" s="46"/>
      <c r="W942" s="46"/>
    </row>
    <row r="943">
      <c r="U943" s="45"/>
      <c r="V943" s="46"/>
      <c r="W943" s="46"/>
    </row>
    <row r="944">
      <c r="U944" s="45"/>
      <c r="V944" s="46"/>
      <c r="W944" s="46"/>
    </row>
    <row r="945">
      <c r="U945" s="45"/>
      <c r="V945" s="46"/>
      <c r="W945" s="46"/>
    </row>
    <row r="946">
      <c r="U946" s="45"/>
      <c r="V946" s="46"/>
      <c r="W946" s="46"/>
    </row>
    <row r="947">
      <c r="U947" s="45"/>
      <c r="V947" s="46"/>
      <c r="W947" s="46"/>
    </row>
    <row r="948">
      <c r="U948" s="45"/>
      <c r="V948" s="46"/>
      <c r="W948" s="46"/>
    </row>
    <row r="949">
      <c r="U949" s="45"/>
      <c r="V949" s="46"/>
      <c r="W949" s="46"/>
    </row>
    <row r="950">
      <c r="U950" s="45"/>
      <c r="V950" s="46"/>
      <c r="W950" s="46"/>
    </row>
    <row r="951">
      <c r="U951" s="45"/>
      <c r="V951" s="46"/>
      <c r="W951" s="46"/>
    </row>
    <row r="952">
      <c r="U952" s="45"/>
      <c r="V952" s="46"/>
      <c r="W952" s="46"/>
    </row>
    <row r="953">
      <c r="U953" s="45"/>
      <c r="V953" s="46"/>
      <c r="W953" s="46"/>
    </row>
    <row r="954">
      <c r="U954" s="45"/>
      <c r="V954" s="46"/>
      <c r="W954" s="46"/>
    </row>
    <row r="955">
      <c r="U955" s="45"/>
      <c r="V955" s="46"/>
      <c r="W955" s="46"/>
    </row>
    <row r="956">
      <c r="U956" s="45"/>
      <c r="V956" s="46"/>
      <c r="W956" s="46"/>
    </row>
    <row r="957">
      <c r="U957" s="45"/>
      <c r="V957" s="46"/>
      <c r="W957" s="46"/>
    </row>
    <row r="958">
      <c r="U958" s="45"/>
      <c r="V958" s="46"/>
      <c r="W958" s="46"/>
    </row>
    <row r="959">
      <c r="U959" s="45"/>
      <c r="V959" s="46"/>
      <c r="W959" s="46"/>
    </row>
    <row r="960">
      <c r="U960" s="45"/>
      <c r="V960" s="46"/>
      <c r="W960" s="46"/>
    </row>
    <row r="961">
      <c r="U961" s="45"/>
      <c r="V961" s="46"/>
      <c r="W961" s="46"/>
    </row>
    <row r="962">
      <c r="U962" s="45"/>
      <c r="V962" s="46"/>
      <c r="W962" s="46"/>
    </row>
    <row r="963">
      <c r="U963" s="45"/>
      <c r="V963" s="46"/>
      <c r="W963" s="46"/>
    </row>
    <row r="964">
      <c r="U964" s="45"/>
      <c r="V964" s="46"/>
      <c r="W964" s="46"/>
    </row>
    <row r="965">
      <c r="U965" s="45"/>
      <c r="V965" s="46"/>
      <c r="W965" s="46"/>
    </row>
    <row r="966">
      <c r="U966" s="45"/>
      <c r="V966" s="46"/>
      <c r="W966" s="46"/>
    </row>
    <row r="967">
      <c r="U967" s="45"/>
      <c r="V967" s="46"/>
      <c r="W967" s="46"/>
    </row>
    <row r="968">
      <c r="U968" s="45"/>
      <c r="V968" s="46"/>
      <c r="W968" s="46"/>
    </row>
    <row r="969">
      <c r="U969" s="45"/>
      <c r="V969" s="46"/>
      <c r="W969" s="46"/>
    </row>
    <row r="970">
      <c r="U970" s="45"/>
      <c r="V970" s="46"/>
      <c r="W970" s="46"/>
    </row>
    <row r="971">
      <c r="U971" s="45"/>
      <c r="V971" s="46"/>
      <c r="W971" s="46"/>
    </row>
    <row r="972">
      <c r="U972" s="45"/>
      <c r="V972" s="46"/>
      <c r="W972" s="46"/>
    </row>
    <row r="973">
      <c r="U973" s="45"/>
      <c r="V973" s="46"/>
      <c r="W973" s="46"/>
    </row>
    <row r="974">
      <c r="U974" s="45"/>
      <c r="V974" s="46"/>
      <c r="W974" s="46"/>
    </row>
    <row r="975">
      <c r="U975" s="45"/>
      <c r="V975" s="46"/>
      <c r="W975" s="46"/>
    </row>
    <row r="976">
      <c r="U976" s="45"/>
      <c r="V976" s="46"/>
      <c r="W976" s="46"/>
    </row>
    <row r="977">
      <c r="U977" s="45"/>
      <c r="V977" s="46"/>
      <c r="W977" s="46"/>
    </row>
    <row r="978">
      <c r="U978" s="45"/>
      <c r="V978" s="46"/>
      <c r="W978" s="46"/>
    </row>
    <row r="979">
      <c r="U979" s="45"/>
      <c r="V979" s="46"/>
      <c r="W979" s="46"/>
    </row>
    <row r="980">
      <c r="U980" s="45"/>
      <c r="V980" s="46"/>
      <c r="W980" s="46"/>
    </row>
    <row r="981">
      <c r="U981" s="45"/>
      <c r="V981" s="46"/>
      <c r="W981" s="46"/>
    </row>
    <row r="982">
      <c r="U982" s="45"/>
      <c r="V982" s="46"/>
      <c r="W982" s="46"/>
    </row>
    <row r="983">
      <c r="U983" s="45"/>
      <c r="V983" s="46"/>
      <c r="W983" s="46"/>
    </row>
    <row r="984">
      <c r="U984" s="45"/>
      <c r="V984" s="46"/>
      <c r="W984" s="46"/>
    </row>
    <row r="985">
      <c r="U985" s="45"/>
      <c r="V985" s="46"/>
      <c r="W985" s="46"/>
    </row>
    <row r="986">
      <c r="U986" s="45"/>
      <c r="V986" s="46"/>
      <c r="W986" s="46"/>
    </row>
    <row r="987">
      <c r="U987" s="45"/>
      <c r="V987" s="46"/>
      <c r="W987" s="46"/>
    </row>
    <row r="988">
      <c r="U988" s="45"/>
      <c r="V988" s="46"/>
      <c r="W988" s="46"/>
    </row>
    <row r="989">
      <c r="U989" s="45"/>
      <c r="V989" s="46"/>
      <c r="W989" s="46"/>
    </row>
    <row r="990">
      <c r="U990" s="45"/>
      <c r="V990" s="46"/>
      <c r="W990" s="46"/>
    </row>
    <row r="991">
      <c r="U991" s="45"/>
      <c r="V991" s="46"/>
      <c r="W991" s="46"/>
    </row>
  </sheetData>
  <mergeCells count="6">
    <mergeCell ref="O1:R1"/>
    <mergeCell ref="AA1:AE1"/>
    <mergeCell ref="F3:M3"/>
    <mergeCell ref="O3:R3"/>
    <mergeCell ref="U3:Y3"/>
    <mergeCell ref="AA3:AE3"/>
  </mergeCells>
  <conditionalFormatting sqref="B32:C32">
    <cfRule type="expression" dxfId="0" priority="1">
      <formula>B32=MAX($B32:$D32)</formula>
    </cfRule>
  </conditionalFormatting>
  <conditionalFormatting sqref="D35 H35:I35">
    <cfRule type="cellIs" dxfId="1" priority="2" operator="between">
      <formula>0.05</formula>
      <formula>0.01</formula>
    </cfRule>
  </conditionalFormatting>
  <conditionalFormatting sqref="D35 H35:I35">
    <cfRule type="cellIs" dxfId="2" priority="3" operator="lessThanOrEqual">
      <formula>0.01</formula>
    </cfRule>
  </conditionalFormatting>
  <conditionalFormatting sqref="U8:Y8">
    <cfRule type="expression" dxfId="0" priority="4">
      <formula>U8=MAX(U$11,U$25,U$36)</formula>
    </cfRule>
  </conditionalFormatting>
  <conditionalFormatting sqref="F8:I8 L8">
    <cfRule type="expression" dxfId="0" priority="5">
      <formula>F8=MAX(F$8,F$17,F$8)</formula>
    </cfRule>
  </conditionalFormatting>
  <conditionalFormatting sqref="F7:I7 L7">
    <cfRule type="expression" dxfId="0" priority="6">
      <formula>F7=MAX(F$7,F$16,F$7)</formula>
    </cfRule>
  </conditionalFormatting>
  <conditionalFormatting sqref="B23:B24">
    <cfRule type="expression" dxfId="0" priority="7">
      <formula>C23:V23 = MAX(23:23)</formula>
    </cfRule>
  </conditionalFormatting>
  <conditionalFormatting sqref="B7:B8 B16:B17 B25">
    <cfRule type="expression" dxfId="0" priority="8">
      <formula>B7=MAX($B7)</formula>
    </cfRule>
  </conditionalFormatting>
  <conditionalFormatting sqref="U7:Y7">
    <cfRule type="expression" dxfId="0" priority="9">
      <formula>U7=MAX(U$7,U$16,F$7)</formula>
    </cfRule>
  </conditionalFormatting>
  <conditionalFormatting sqref="U8:Y8">
    <cfRule type="expression" dxfId="0" priority="10">
      <formula>U8=MAX(U$8,U$17,F$8)</formula>
    </cfRule>
  </conditionalFormatting>
  <hyperlinks>
    <hyperlink display="#CopaDelRey-v2-b0.8-e0.8-grouped" location="#CopaDelRey-v2-b0.8-e0.8-groupe!A1" ref="D4"/>
    <hyperlink display="#ParmaMilan-v3-b0.8-e0.8-grouped" location="#ParmaMilan-v3-b0.8-e0.8-groupe!A1" ref="D5"/>
    <hyperlink display="#TropheeDesChampions-v3-b0.8-e0.8-grouped" location="#TropheeDesChampions-v3-b0.8-e0!A1" ref="D6"/>
  </hyperlin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1" t="s">
        <v>96</v>
      </c>
      <c r="I1" s="1" t="s">
        <v>97</v>
      </c>
      <c r="J1" s="1"/>
    </row>
    <row r="2">
      <c r="A2" s="39" t="s">
        <v>75</v>
      </c>
      <c r="B2" s="39" t="s">
        <v>98</v>
      </c>
      <c r="C2" s="39">
        <f t="shared" ref="C2:C6" si="1">COUNTIF(I:I,A2)</f>
        <v>1</v>
      </c>
      <c r="D2" s="62">
        <f t="shared" ref="D2:D6" si="2">C2/COUNTA(I$2:I1000)</f>
        <v>0.03448275862</v>
      </c>
      <c r="E2" s="63">
        <v>1.623502899E9</v>
      </c>
      <c r="F2" s="64">
        <f>IFERROR(__xludf.DUMMYFUNCTION("INDEX(SPLIT(E2, char(10)), 0, 1)/86400+date(1970,1,1)"),44359.5428125)</f>
        <v>44359.54281</v>
      </c>
      <c r="G2" s="65" t="s">
        <v>99</v>
      </c>
      <c r="H2" s="66" t="s">
        <v>100</v>
      </c>
      <c r="I2" s="5" t="s">
        <v>14</v>
      </c>
      <c r="J2" s="39"/>
    </row>
    <row r="3">
      <c r="A3" s="39" t="s">
        <v>14</v>
      </c>
      <c r="B3" s="39" t="s">
        <v>101</v>
      </c>
      <c r="C3" s="39">
        <f t="shared" si="1"/>
        <v>6</v>
      </c>
      <c r="D3" s="62">
        <f t="shared" si="2"/>
        <v>0.2068965517</v>
      </c>
      <c r="E3" s="63">
        <v>1.623503118E9</v>
      </c>
      <c r="F3" s="64">
        <f>IFERROR(__xludf.DUMMYFUNCTION("INDEX(SPLIT(E3, char(10)), 0, 1)/86400+date(1970,1,1)"),44359.54534722222)</f>
        <v>44359.54535</v>
      </c>
      <c r="G3" s="65" t="s">
        <v>102</v>
      </c>
      <c r="H3" s="66" t="s">
        <v>103</v>
      </c>
      <c r="I3" s="5" t="s">
        <v>14</v>
      </c>
      <c r="J3" s="39"/>
    </row>
    <row r="4">
      <c r="A4" s="39" t="s">
        <v>15</v>
      </c>
      <c r="B4" s="39" t="s">
        <v>104</v>
      </c>
      <c r="C4" s="39">
        <f t="shared" si="1"/>
        <v>3</v>
      </c>
      <c r="D4" s="62">
        <f t="shared" si="2"/>
        <v>0.1034482759</v>
      </c>
      <c r="E4" s="63">
        <v>1.623503802E9</v>
      </c>
      <c r="F4" s="64">
        <f>IFERROR(__xludf.DUMMYFUNCTION("INDEX(SPLIT(E4, char(10)), 0, 1)/86400+date(1970,1,1)"),44359.55326388888)</f>
        <v>44359.55326</v>
      </c>
      <c r="G4" s="65" t="s">
        <v>105</v>
      </c>
      <c r="H4" s="66" t="s">
        <v>106</v>
      </c>
      <c r="I4" s="5" t="s">
        <v>17</v>
      </c>
      <c r="J4" s="39"/>
    </row>
    <row r="5">
      <c r="A5" s="39" t="s">
        <v>16</v>
      </c>
      <c r="B5" s="39" t="s">
        <v>107</v>
      </c>
      <c r="C5" s="39">
        <f t="shared" si="1"/>
        <v>8</v>
      </c>
      <c r="D5" s="62">
        <f t="shared" si="2"/>
        <v>0.275862069</v>
      </c>
      <c r="E5" s="63">
        <v>1.623504549E9</v>
      </c>
      <c r="F5" s="64">
        <f>IFERROR(__xludf.DUMMYFUNCTION("INDEX(SPLIT(E5, char(10)), 0, 1)/86400+date(1970,1,1)"),44359.56190972222)</f>
        <v>44359.56191</v>
      </c>
      <c r="G5" s="65" t="s">
        <v>108</v>
      </c>
      <c r="H5" s="66" t="s">
        <v>109</v>
      </c>
      <c r="I5" s="5" t="s">
        <v>17</v>
      </c>
      <c r="J5" s="39"/>
    </row>
    <row r="6">
      <c r="A6" s="39" t="s">
        <v>17</v>
      </c>
      <c r="B6" s="39" t="s">
        <v>110</v>
      </c>
      <c r="C6" s="39">
        <f t="shared" si="1"/>
        <v>11</v>
      </c>
      <c r="D6" s="62">
        <f t="shared" si="2"/>
        <v>0.3793103448</v>
      </c>
      <c r="E6" s="63">
        <v>1.623504718E9</v>
      </c>
      <c r="F6" s="64">
        <f>IFERROR(__xludf.DUMMYFUNCTION("INDEX(SPLIT(E6, char(10)), 0, 1)/86400+date(1970,1,1)"),44359.56386574074)</f>
        <v>44359.56387</v>
      </c>
      <c r="G6" s="65" t="s">
        <v>111</v>
      </c>
      <c r="H6" s="66" t="s">
        <v>112</v>
      </c>
      <c r="I6" s="5" t="s">
        <v>17</v>
      </c>
    </row>
    <row r="7">
      <c r="B7" s="39" t="s">
        <v>13</v>
      </c>
      <c r="C7" s="67">
        <f t="shared" ref="C7:D7" si="3">SUM(C2:C6)</f>
        <v>29</v>
      </c>
      <c r="D7" s="68">
        <f t="shared" si="3"/>
        <v>1</v>
      </c>
      <c r="E7" s="63">
        <v>1.623504872E9</v>
      </c>
      <c r="F7" s="64">
        <f>IFERROR(__xludf.DUMMYFUNCTION("INDEX(SPLIT(E7, char(10)), 0, 1)/86400+date(1970,1,1)"),44359.56564814815)</f>
        <v>44359.56565</v>
      </c>
      <c r="G7" s="65" t="s">
        <v>113</v>
      </c>
      <c r="H7" s="66" t="s">
        <v>114</v>
      </c>
      <c r="I7" s="5" t="s">
        <v>17</v>
      </c>
    </row>
    <row r="8">
      <c r="A8" s="69"/>
      <c r="B8" s="39" t="s">
        <v>18</v>
      </c>
      <c r="C8" s="55">
        <f t="shared" ref="C8:D8" si="4">SUM(C5:C6)</f>
        <v>19</v>
      </c>
      <c r="D8" s="13">
        <f t="shared" si="4"/>
        <v>0.6551724138</v>
      </c>
      <c r="E8" s="63">
        <v>1.623504981E9</v>
      </c>
      <c r="F8" s="64">
        <f>IFERROR(__xludf.DUMMYFUNCTION("INDEX(SPLIT(E8, char(10)), 0, 1)/86400+date(1970,1,1)"),44359.56690972223)</f>
        <v>44359.56691</v>
      </c>
      <c r="G8" s="65" t="s">
        <v>115</v>
      </c>
      <c r="H8" s="66" t="s">
        <v>116</v>
      </c>
      <c r="I8" s="5" t="s">
        <v>15</v>
      </c>
    </row>
    <row r="9">
      <c r="A9" s="69"/>
      <c r="B9" s="39" t="s">
        <v>47</v>
      </c>
      <c r="C9" s="55">
        <f>SUM(C6:C7)</f>
        <v>40</v>
      </c>
      <c r="D9" s="13">
        <f>SUM(D5:D6) + D2</f>
        <v>0.6896551724</v>
      </c>
      <c r="E9" s="63">
        <v>1.623505519E9</v>
      </c>
      <c r="F9" s="64">
        <f>IFERROR(__xludf.DUMMYFUNCTION("INDEX(SPLIT(E9, char(10)), 0, 1)/86400+date(1970,1,1)"),44359.57313657408)</f>
        <v>44359.57314</v>
      </c>
      <c r="G9" s="65" t="s">
        <v>117</v>
      </c>
      <c r="H9" s="66" t="s">
        <v>118</v>
      </c>
      <c r="I9" s="5" t="s">
        <v>14</v>
      </c>
    </row>
    <row r="10">
      <c r="A10" s="69"/>
      <c r="B10" s="69"/>
      <c r="C10" s="69"/>
      <c r="D10" s="69"/>
      <c r="E10" s="63">
        <v>1.623505672E9</v>
      </c>
      <c r="F10" s="64">
        <f>IFERROR(__xludf.DUMMYFUNCTION("INDEX(SPLIT(E10, char(10)), 0, 1)/86400+date(1970,1,1)"),44359.57490740741)</f>
        <v>44359.57491</v>
      </c>
      <c r="G10" s="65" t="s">
        <v>119</v>
      </c>
      <c r="H10" s="66" t="s">
        <v>120</v>
      </c>
      <c r="I10" s="5" t="s">
        <v>17</v>
      </c>
    </row>
    <row r="11">
      <c r="A11" s="69"/>
      <c r="B11" s="69"/>
      <c r="C11" s="69"/>
      <c r="D11" s="69"/>
      <c r="E11" s="63">
        <v>1.623505763E9</v>
      </c>
      <c r="F11" s="64">
        <f>IFERROR(__xludf.DUMMYFUNCTION("INDEX(SPLIT(E11, char(10)), 0, 1)/86400+date(1970,1,1)"),44359.575960648144)</f>
        <v>44359.57596</v>
      </c>
      <c r="G11" s="65" t="s">
        <v>121</v>
      </c>
      <c r="H11" s="66" t="s">
        <v>122</v>
      </c>
      <c r="I11" s="5" t="s">
        <v>17</v>
      </c>
    </row>
    <row r="12">
      <c r="A12" s="70" t="s">
        <v>123</v>
      </c>
      <c r="B12" s="71" t="s">
        <v>124</v>
      </c>
      <c r="C12" s="72"/>
      <c r="D12" s="72"/>
      <c r="E12" s="63">
        <v>1.623506858E9</v>
      </c>
      <c r="F12" s="64">
        <f>IFERROR(__xludf.DUMMYFUNCTION("INDEX(SPLIT(E12, char(10)), 0, 1)/86400+date(1970,1,1)"),44359.58863425926)</f>
        <v>44359.58863</v>
      </c>
      <c r="G12" s="65" t="s">
        <v>125</v>
      </c>
      <c r="H12" s="66" t="s">
        <v>126</v>
      </c>
      <c r="I12" s="5" t="s">
        <v>16</v>
      </c>
    </row>
    <row r="13">
      <c r="A13" s="70" t="s">
        <v>127</v>
      </c>
      <c r="B13" s="72"/>
      <c r="C13" s="70" t="s">
        <v>91</v>
      </c>
      <c r="D13" s="70" t="s">
        <v>92</v>
      </c>
      <c r="E13" s="63">
        <v>1.623506972E9</v>
      </c>
      <c r="F13" s="64">
        <f>IFERROR(__xludf.DUMMYFUNCTION("INDEX(SPLIT(E13, char(10)), 0, 1)/86400+date(1970,1,1)"),44359.589953703704)</f>
        <v>44359.58995</v>
      </c>
      <c r="G13" s="65" t="s">
        <v>128</v>
      </c>
      <c r="H13" s="66" t="s">
        <v>129</v>
      </c>
      <c r="I13" s="5" t="s">
        <v>16</v>
      </c>
    </row>
    <row r="14">
      <c r="A14" s="5" t="s">
        <v>130</v>
      </c>
      <c r="B14" s="5" t="s">
        <v>131</v>
      </c>
      <c r="C14" s="73">
        <f t="shared" ref="C14:C17" si="5">COUNTIF($A$19:$A1000, A14)</f>
        <v>3</v>
      </c>
      <c r="D14" s="74">
        <f>IFERROR(__xludf.DUMMYFUNCTION("IF(C14, COUNTIF(FILTER($D$20:$D1000, $A$20:$A1000=A14), TRUE)/C14, 0)"),1.0)</f>
        <v>1</v>
      </c>
      <c r="E14" s="63">
        <v>1.623507116E9</v>
      </c>
      <c r="F14" s="64">
        <f>IFERROR(__xludf.DUMMYFUNCTION("INDEX(SPLIT(E14, char(10)), 0, 1)/86400+date(1970,1,1)"),44359.59162037037)</f>
        <v>44359.59162</v>
      </c>
      <c r="G14" s="65" t="s">
        <v>132</v>
      </c>
      <c r="H14" s="66" t="s">
        <v>133</v>
      </c>
      <c r="I14" s="66" t="s">
        <v>17</v>
      </c>
    </row>
    <row r="15">
      <c r="A15" s="5" t="s">
        <v>6</v>
      </c>
      <c r="B15" s="5" t="s">
        <v>134</v>
      </c>
      <c r="C15" s="73">
        <f t="shared" si="5"/>
        <v>3</v>
      </c>
      <c r="D15" s="74">
        <f>IFERROR(__xludf.DUMMYFUNCTION("IF(C15, COUNTIF(FILTER($D$20:$D1000, $A$20:$A1000=A15), TRUE)/C15, 0)"),0.6666666666666666)</f>
        <v>0.6666666667</v>
      </c>
      <c r="E15" s="63">
        <v>1.623507215E9</v>
      </c>
      <c r="F15" s="64">
        <f>IFERROR(__xludf.DUMMYFUNCTION("INDEX(SPLIT(E15, char(10)), 0, 1)/86400+date(1970,1,1)"),44359.5927662037)</f>
        <v>44359.59277</v>
      </c>
      <c r="G15" s="65" t="s">
        <v>135</v>
      </c>
      <c r="H15" s="66" t="s">
        <v>136</v>
      </c>
      <c r="I15" s="66" t="s">
        <v>15</v>
      </c>
    </row>
    <row r="16">
      <c r="A16" s="5" t="s">
        <v>7</v>
      </c>
      <c r="B16" s="5" t="s">
        <v>137</v>
      </c>
      <c r="C16" s="73">
        <f t="shared" si="5"/>
        <v>4</v>
      </c>
      <c r="D16" s="74">
        <f>IFERROR(__xludf.DUMMYFUNCTION("IF(C16, COUNTIF(FILTER($D$20:$D1000, $A$20:$A1000=A16), TRUE)/C16, 0)"),0.25)</f>
        <v>0.25</v>
      </c>
      <c r="E16" s="63">
        <v>1.623507459E9</v>
      </c>
      <c r="F16" s="64">
        <f>IFERROR(__xludf.DUMMYFUNCTION("INDEX(SPLIT(E16, char(10)), 0, 1)/86400+date(1970,1,1)"),44359.59559027778)</f>
        <v>44359.59559</v>
      </c>
      <c r="G16" s="65" t="s">
        <v>138</v>
      </c>
      <c r="H16" s="66" t="s">
        <v>139</v>
      </c>
      <c r="I16" s="5" t="s">
        <v>15</v>
      </c>
    </row>
    <row r="17">
      <c r="A17" s="5" t="s">
        <v>8</v>
      </c>
      <c r="B17" s="5" t="s">
        <v>79</v>
      </c>
      <c r="C17" s="73">
        <f t="shared" si="5"/>
        <v>4</v>
      </c>
      <c r="D17" s="74">
        <f>IFERROR(__xludf.DUMMYFUNCTION("IF(C17, COUNTIF(FILTER($D$20:$D1000, $A$20:$A1000=A17), TRUE)/C17, 0)"),0.5)</f>
        <v>0.5</v>
      </c>
      <c r="E17" s="63">
        <v>1.623507632E9</v>
      </c>
      <c r="F17" s="64">
        <f>IFERROR(__xludf.DUMMYFUNCTION("INDEX(SPLIT(E17, char(10)), 0, 1)/86400+date(1970,1,1)"),44359.59759259259)</f>
        <v>44359.59759</v>
      </c>
      <c r="G17" s="65" t="s">
        <v>140</v>
      </c>
      <c r="H17" s="66" t="s">
        <v>141</v>
      </c>
      <c r="I17" s="66" t="s">
        <v>14</v>
      </c>
    </row>
    <row r="18">
      <c r="A18" s="72"/>
      <c r="B18" s="70" t="s">
        <v>9</v>
      </c>
      <c r="C18" s="73">
        <f>SUM(C14:C17)</f>
        <v>14</v>
      </c>
      <c r="D18" s="74">
        <f>COUNTIF($D$19:$D1000, TRUE)/SUM($C$14:$C$17)</f>
        <v>0.5714285714</v>
      </c>
      <c r="E18" s="63">
        <v>1.623507738E9</v>
      </c>
      <c r="F18" s="64">
        <f>IFERROR(__xludf.DUMMYFUNCTION("INDEX(SPLIT(E18, char(10)), 0, 1)/86400+date(1970,1,1)"),44359.59881944444)</f>
        <v>44359.59882</v>
      </c>
      <c r="G18" s="65" t="s">
        <v>142</v>
      </c>
      <c r="H18" s="66" t="s">
        <v>143</v>
      </c>
      <c r="I18" s="5" t="s">
        <v>16</v>
      </c>
    </row>
    <row r="19">
      <c r="A19" s="70" t="s">
        <v>97</v>
      </c>
      <c r="B19" s="70" t="s">
        <v>144</v>
      </c>
      <c r="C19" s="70" t="s">
        <v>145</v>
      </c>
      <c r="D19" s="70" t="s">
        <v>146</v>
      </c>
      <c r="E19" s="63">
        <v>1.623507959E9</v>
      </c>
      <c r="F19" s="64">
        <f>IFERROR(__xludf.DUMMYFUNCTION("INDEX(SPLIT(E19, char(10)), 0, 1)/86400+date(1970,1,1)"),44359.601377314815)</f>
        <v>44359.60138</v>
      </c>
      <c r="G19" s="65" t="s">
        <v>147</v>
      </c>
      <c r="H19" s="66" t="s">
        <v>148</v>
      </c>
      <c r="I19" s="5" t="s">
        <v>16</v>
      </c>
    </row>
    <row r="20">
      <c r="A20" s="75" t="s">
        <v>7</v>
      </c>
      <c r="B20" s="75" t="s">
        <v>149</v>
      </c>
      <c r="C20" s="76">
        <v>1.0</v>
      </c>
      <c r="D20" s="77" t="b">
        <v>0</v>
      </c>
      <c r="E20" s="63">
        <v>1.623508419E9</v>
      </c>
      <c r="F20" s="64">
        <f>IFERROR(__xludf.DUMMYFUNCTION("INDEX(SPLIT(E20, char(10)), 0, 1)/86400+date(1970,1,1)"),44359.60670138889)</f>
        <v>44359.6067</v>
      </c>
      <c r="G20" s="65" t="s">
        <v>150</v>
      </c>
      <c r="H20" s="66" t="s">
        <v>151</v>
      </c>
      <c r="I20" s="5" t="s">
        <v>16</v>
      </c>
    </row>
    <row r="21">
      <c r="A21" s="75" t="s">
        <v>6</v>
      </c>
      <c r="B21" s="75" t="s">
        <v>152</v>
      </c>
      <c r="C21" s="76">
        <v>30.0</v>
      </c>
      <c r="D21" s="77" t="b">
        <v>0</v>
      </c>
      <c r="E21" s="63">
        <v>1.623508509E9</v>
      </c>
      <c r="F21" s="64">
        <f>IFERROR(__xludf.DUMMYFUNCTION("INDEX(SPLIT(E21, char(10)), 0, 1)/86400+date(1970,1,1)"),44359.60774305556)</f>
        <v>44359.60774</v>
      </c>
      <c r="G21" s="65" t="s">
        <v>153</v>
      </c>
      <c r="H21" s="66" t="s">
        <v>154</v>
      </c>
      <c r="I21" s="5" t="s">
        <v>16</v>
      </c>
    </row>
    <row r="22">
      <c r="A22" s="75" t="s">
        <v>7</v>
      </c>
      <c r="B22" s="75" t="s">
        <v>155</v>
      </c>
      <c r="C22" s="76">
        <v>45.0</v>
      </c>
      <c r="D22" s="77" t="b">
        <v>0</v>
      </c>
      <c r="E22" s="63">
        <v>1.623508609E9</v>
      </c>
      <c r="F22" s="64">
        <f>IFERROR(__xludf.DUMMYFUNCTION("INDEX(SPLIT(E22, char(10)), 0, 1)/86400+date(1970,1,1)"),44359.60890046296)</f>
        <v>44359.6089</v>
      </c>
      <c r="G22" s="65" t="s">
        <v>156</v>
      </c>
      <c r="H22" s="66" t="s">
        <v>157</v>
      </c>
      <c r="I22" s="66" t="s">
        <v>14</v>
      </c>
    </row>
    <row r="23">
      <c r="A23" s="75" t="s">
        <v>7</v>
      </c>
      <c r="B23" s="75" t="s">
        <v>158</v>
      </c>
      <c r="C23" s="76">
        <v>45.0</v>
      </c>
      <c r="D23" s="77" t="b">
        <v>0</v>
      </c>
      <c r="E23" s="63">
        <v>1.62350874E9</v>
      </c>
      <c r="F23" s="64">
        <f>IFERROR(__xludf.DUMMYFUNCTION("INDEX(SPLIT(E23, char(10)), 0, 1)/86400+date(1970,1,1)"),44359.61041666666)</f>
        <v>44359.61042</v>
      </c>
      <c r="G23" s="65" t="s">
        <v>159</v>
      </c>
      <c r="H23" s="66" t="s">
        <v>160</v>
      </c>
      <c r="I23" s="66" t="s">
        <v>17</v>
      </c>
    </row>
    <row r="24">
      <c r="A24" s="5" t="s">
        <v>6</v>
      </c>
      <c r="B24" s="5" t="s">
        <v>161</v>
      </c>
      <c r="C24" s="76">
        <v>47.0</v>
      </c>
      <c r="D24" s="77" t="b">
        <v>1</v>
      </c>
      <c r="E24" s="63">
        <v>1.623508955E9</v>
      </c>
      <c r="F24" s="64">
        <f>IFERROR(__xludf.DUMMYFUNCTION("INDEX(SPLIT(E24, char(10)), 0, 1)/86400+date(1970,1,1)"),44359.612905092596)</f>
        <v>44359.61291</v>
      </c>
      <c r="G24" s="65" t="s">
        <v>162</v>
      </c>
      <c r="H24" s="66" t="s">
        <v>163</v>
      </c>
      <c r="I24" s="5" t="s">
        <v>17</v>
      </c>
    </row>
    <row r="25">
      <c r="A25" s="75" t="s">
        <v>130</v>
      </c>
      <c r="B25" s="72" t="s">
        <v>164</v>
      </c>
      <c r="C25" s="76">
        <v>49.0</v>
      </c>
      <c r="D25" s="77" t="b">
        <v>1</v>
      </c>
      <c r="E25" s="63">
        <v>1.623509047E9</v>
      </c>
      <c r="F25" s="64">
        <f>IFERROR(__xludf.DUMMYFUNCTION("INDEX(SPLIT(E25, char(10)), 0, 1)/86400+date(1970,1,1)"),44359.61396990741)</f>
        <v>44359.61397</v>
      </c>
      <c r="G25" s="65" t="s">
        <v>165</v>
      </c>
      <c r="H25" s="66" t="s">
        <v>166</v>
      </c>
      <c r="I25" s="66" t="s">
        <v>17</v>
      </c>
    </row>
    <row r="26">
      <c r="A26" s="75" t="s">
        <v>6</v>
      </c>
      <c r="B26" s="72" t="s">
        <v>167</v>
      </c>
      <c r="C26" s="76">
        <v>63.0</v>
      </c>
      <c r="D26" s="78" t="b">
        <v>1</v>
      </c>
      <c r="E26" s="63">
        <v>1.62350925E9</v>
      </c>
      <c r="F26" s="64">
        <f>IFERROR(__xludf.DUMMYFUNCTION("INDEX(SPLIT(E26, char(10)), 0, 1)/86400+date(1970,1,1)"),44359.616319444445)</f>
        <v>44359.61632</v>
      </c>
      <c r="G26" s="65" t="s">
        <v>168</v>
      </c>
      <c r="H26" s="66" t="s">
        <v>169</v>
      </c>
      <c r="I26" s="5" t="s">
        <v>16</v>
      </c>
    </row>
    <row r="27">
      <c r="A27" s="75" t="s">
        <v>8</v>
      </c>
      <c r="B27" s="72" t="s">
        <v>170</v>
      </c>
      <c r="C27" s="76">
        <v>66.0</v>
      </c>
      <c r="D27" s="78" t="b">
        <v>1</v>
      </c>
      <c r="E27" s="63">
        <v>1.623509385E9</v>
      </c>
      <c r="F27" s="64">
        <f>IFERROR(__xludf.DUMMYFUNCTION("INDEX(SPLIT(E27, char(10)), 0, 1)/86400+date(1970,1,1)"),44359.61788194445)</f>
        <v>44359.61788</v>
      </c>
      <c r="G27" s="65" t="s">
        <v>171</v>
      </c>
      <c r="H27" s="66" t="s">
        <v>172</v>
      </c>
      <c r="I27" s="5" t="s">
        <v>17</v>
      </c>
    </row>
    <row r="28">
      <c r="A28" s="75" t="s">
        <v>130</v>
      </c>
      <c r="B28" s="72" t="s">
        <v>161</v>
      </c>
      <c r="C28" s="76">
        <v>74.0</v>
      </c>
      <c r="D28" s="78" t="b">
        <v>1</v>
      </c>
      <c r="E28" s="63">
        <v>1.623509539E9</v>
      </c>
      <c r="F28" s="64">
        <f>IFERROR(__xludf.DUMMYFUNCTION("INDEX(SPLIT(E28, char(10)), 0, 1)/86400+date(1970,1,1)"),44359.61966435185)</f>
        <v>44359.61966</v>
      </c>
      <c r="G28" s="65" t="s">
        <v>173</v>
      </c>
      <c r="H28" s="66" t="s">
        <v>174</v>
      </c>
      <c r="I28" s="66" t="s">
        <v>75</v>
      </c>
    </row>
    <row r="29">
      <c r="A29" s="75" t="s">
        <v>8</v>
      </c>
      <c r="B29" s="72" t="s">
        <v>175</v>
      </c>
      <c r="C29" s="76">
        <v>75.0</v>
      </c>
      <c r="D29" s="78" t="b">
        <v>1</v>
      </c>
      <c r="E29" s="79">
        <v>1.623509644E9</v>
      </c>
      <c r="F29" s="64">
        <f>IFERROR(__xludf.DUMMYFUNCTION("INDEX(SPLIT(E29, char(10)), 0, 1)/86400+date(1970,1,1)"),44359.62087962963)</f>
        <v>44359.62088</v>
      </c>
      <c r="G29" s="65" t="s">
        <v>176</v>
      </c>
      <c r="H29" s="66" t="s">
        <v>177</v>
      </c>
      <c r="I29" s="66" t="s">
        <v>14</v>
      </c>
    </row>
    <row r="30">
      <c r="A30" s="75" t="s">
        <v>8</v>
      </c>
      <c r="B30" s="72" t="s">
        <v>178</v>
      </c>
      <c r="C30" s="76">
        <v>84.0</v>
      </c>
      <c r="D30" s="78" t="b">
        <v>0</v>
      </c>
      <c r="E30" s="80">
        <v>1.623509779E9</v>
      </c>
      <c r="F30" s="64">
        <f>IFERROR(__xludf.DUMMYFUNCTION("INDEX(SPLIT(E30, char(10)), 0, 1)/86400+date(1970,1,1)"),44359.62244212963)</f>
        <v>44359.62244</v>
      </c>
      <c r="G30" s="81" t="s">
        <v>179</v>
      </c>
      <c r="H30" s="66" t="s">
        <v>180</v>
      </c>
      <c r="I30" s="39" t="s">
        <v>16</v>
      </c>
    </row>
    <row r="31">
      <c r="A31" s="75" t="s">
        <v>130</v>
      </c>
      <c r="B31" s="72" t="s">
        <v>181</v>
      </c>
      <c r="C31" s="76">
        <v>85.0</v>
      </c>
      <c r="D31" s="78" t="b">
        <v>1</v>
      </c>
      <c r="E31" s="82"/>
      <c r="F31" s="64"/>
      <c r="G31" s="81"/>
      <c r="H31" s="66"/>
      <c r="I31" s="40"/>
    </row>
    <row r="32">
      <c r="A32" s="75" t="s">
        <v>8</v>
      </c>
      <c r="B32" s="72" t="s">
        <v>182</v>
      </c>
      <c r="C32" s="76">
        <v>93.0</v>
      </c>
      <c r="D32" s="78" t="b">
        <v>0</v>
      </c>
      <c r="E32" s="82"/>
      <c r="F32" s="64"/>
      <c r="G32" s="81"/>
      <c r="H32" s="66"/>
      <c r="I32" s="40"/>
    </row>
    <row r="33">
      <c r="A33" s="75" t="s">
        <v>7</v>
      </c>
      <c r="B33" s="72" t="s">
        <v>183</v>
      </c>
      <c r="C33" s="76">
        <v>90.0</v>
      </c>
      <c r="D33" s="78" t="b">
        <v>1</v>
      </c>
      <c r="E33" s="82"/>
      <c r="F33" s="64"/>
      <c r="G33" s="81"/>
      <c r="H33" s="66"/>
      <c r="I33" s="40"/>
    </row>
    <row r="34">
      <c r="A34" s="75"/>
      <c r="B34" s="72"/>
      <c r="C34" s="76"/>
      <c r="D34" s="77"/>
      <c r="E34" s="82"/>
      <c r="F34" s="64"/>
      <c r="G34" s="81"/>
      <c r="H34" s="66"/>
      <c r="I34" s="40"/>
    </row>
    <row r="35">
      <c r="A35" s="75"/>
      <c r="B35" s="72"/>
      <c r="C35" s="76"/>
      <c r="D35" s="77"/>
      <c r="E35" s="82"/>
      <c r="F35" s="64"/>
      <c r="G35" s="81"/>
      <c r="H35" s="66"/>
      <c r="I35" s="40"/>
    </row>
    <row r="36">
      <c r="A36" s="75"/>
      <c r="B36" s="72"/>
      <c r="C36" s="76"/>
      <c r="D36" s="77"/>
      <c r="E36" s="82"/>
      <c r="F36" s="64"/>
      <c r="G36" s="81"/>
      <c r="H36" s="66"/>
      <c r="I36" s="40"/>
    </row>
    <row r="37">
      <c r="A37" s="75"/>
      <c r="B37" s="72"/>
      <c r="C37" s="76"/>
      <c r="D37" s="77"/>
      <c r="E37" s="82"/>
      <c r="F37" s="64"/>
      <c r="G37" s="81"/>
      <c r="H37" s="66"/>
      <c r="I37" s="40"/>
    </row>
    <row r="38">
      <c r="A38" s="75"/>
      <c r="B38" s="72"/>
      <c r="C38" s="76"/>
      <c r="D38" s="77"/>
      <c r="E38" s="82"/>
      <c r="F38" s="64"/>
      <c r="G38" s="81"/>
      <c r="H38" s="66"/>
      <c r="I38" s="40"/>
    </row>
    <row r="39">
      <c r="A39" s="75"/>
      <c r="B39" s="72"/>
      <c r="C39" s="76"/>
      <c r="D39" s="77"/>
      <c r="E39" s="82"/>
      <c r="F39" s="64"/>
      <c r="G39" s="81"/>
      <c r="H39" s="66"/>
      <c r="I39" s="40"/>
    </row>
    <row r="40">
      <c r="A40" s="75"/>
      <c r="B40" s="72"/>
      <c r="C40" s="76"/>
      <c r="D40" s="77"/>
      <c r="E40" s="82"/>
      <c r="F40" s="64"/>
      <c r="G40" s="81"/>
      <c r="H40" s="66"/>
      <c r="I40" s="40"/>
    </row>
    <row r="41">
      <c r="A41" s="75"/>
      <c r="B41" s="72"/>
      <c r="C41" s="76"/>
      <c r="D41" s="77"/>
      <c r="E41" s="82"/>
      <c r="F41" s="64"/>
      <c r="G41" s="81"/>
      <c r="H41" s="66"/>
      <c r="I41" s="40"/>
    </row>
    <row r="42">
      <c r="A42" s="75"/>
      <c r="B42" s="72"/>
      <c r="C42" s="76"/>
      <c r="D42" s="78"/>
      <c r="E42" s="82"/>
      <c r="F42" s="64"/>
      <c r="G42" s="81"/>
      <c r="H42" s="66"/>
      <c r="I42" s="40"/>
    </row>
    <row r="43">
      <c r="A43" s="69"/>
      <c r="B43" s="69"/>
      <c r="C43" s="69"/>
      <c r="D43" s="69"/>
      <c r="E43" s="82"/>
      <c r="F43" s="64"/>
      <c r="G43" s="81"/>
      <c r="H43" s="66"/>
      <c r="I43" s="40"/>
    </row>
    <row r="44">
      <c r="A44" s="69"/>
      <c r="B44" s="69"/>
      <c r="C44" s="69"/>
      <c r="D44" s="69"/>
      <c r="E44" s="82"/>
      <c r="F44" s="64"/>
      <c r="G44" s="81"/>
      <c r="H44" s="66"/>
      <c r="I44" s="40"/>
    </row>
    <row r="45">
      <c r="F45" s="64"/>
      <c r="G45" s="81"/>
      <c r="H45" s="66"/>
      <c r="I45" s="40"/>
    </row>
    <row r="46">
      <c r="F46" s="64"/>
      <c r="G46" s="81"/>
      <c r="H46" s="66"/>
      <c r="I46" s="40"/>
    </row>
    <row r="47">
      <c r="F47" s="64"/>
      <c r="G47" s="81"/>
      <c r="H47" s="66"/>
      <c r="I47" s="40"/>
    </row>
    <row r="48">
      <c r="F48" s="64"/>
      <c r="G48" s="81"/>
      <c r="H48" s="66"/>
      <c r="I48" s="40"/>
    </row>
    <row r="49">
      <c r="F49" s="64"/>
      <c r="G49" s="81"/>
      <c r="H49" s="66"/>
      <c r="I49" s="40"/>
    </row>
    <row r="50">
      <c r="F50" s="64"/>
      <c r="G50" s="81"/>
      <c r="H50" s="66"/>
      <c r="I50" s="40"/>
    </row>
    <row r="51">
      <c r="F51" s="64"/>
      <c r="G51" s="81"/>
      <c r="H51" s="66"/>
      <c r="I51" s="40"/>
    </row>
    <row r="52">
      <c r="F52" s="64"/>
      <c r="G52" s="83"/>
      <c r="H52" s="66"/>
    </row>
    <row r="53">
      <c r="F53" s="64"/>
      <c r="G53" s="83"/>
      <c r="H53" s="66"/>
    </row>
    <row r="54">
      <c r="F54" s="64"/>
      <c r="G54" s="83"/>
      <c r="H54" s="66"/>
    </row>
    <row r="55">
      <c r="F55" s="64"/>
      <c r="G55" s="83"/>
      <c r="H55" s="66"/>
    </row>
    <row r="56">
      <c r="F56" s="64"/>
      <c r="G56" s="83"/>
      <c r="H56" s="66"/>
    </row>
    <row r="57">
      <c r="F57" s="64"/>
      <c r="G57" s="83"/>
      <c r="H57" s="66"/>
    </row>
    <row r="58">
      <c r="F58" s="64"/>
      <c r="G58" s="83"/>
      <c r="H58" s="66"/>
    </row>
    <row r="59">
      <c r="F59" s="64"/>
      <c r="G59" s="83"/>
      <c r="H59" s="66"/>
    </row>
    <row r="60">
      <c r="F60" s="64"/>
      <c r="G60" s="83"/>
      <c r="H60" s="66"/>
    </row>
    <row r="61">
      <c r="F61" s="64"/>
      <c r="G61" s="83"/>
      <c r="H61" s="66"/>
    </row>
    <row r="62">
      <c r="F62" s="64"/>
      <c r="G62" s="83"/>
      <c r="H62" s="66"/>
    </row>
    <row r="63">
      <c r="F63" s="64"/>
      <c r="G63" s="83"/>
      <c r="H63" s="66"/>
    </row>
    <row r="64">
      <c r="F64" s="64"/>
      <c r="G64" s="83"/>
      <c r="H64" s="66"/>
    </row>
    <row r="65">
      <c r="F65" s="64"/>
      <c r="G65" s="83"/>
      <c r="H65" s="66"/>
    </row>
    <row r="66">
      <c r="F66" s="64"/>
      <c r="G66" s="83"/>
      <c r="H66" s="66"/>
    </row>
    <row r="67">
      <c r="F67" s="64"/>
      <c r="G67" s="83"/>
      <c r="H67" s="66"/>
    </row>
    <row r="68">
      <c r="F68" s="64"/>
      <c r="G68" s="83"/>
      <c r="H68" s="66"/>
    </row>
    <row r="69">
      <c r="F69" s="64"/>
      <c r="G69" s="83"/>
      <c r="H69" s="66"/>
    </row>
    <row r="70">
      <c r="F70" s="64"/>
      <c r="G70" s="83"/>
      <c r="H70" s="66"/>
    </row>
    <row r="71">
      <c r="F71" s="64"/>
      <c r="G71" s="83"/>
      <c r="H71" s="66"/>
    </row>
    <row r="72">
      <c r="F72" s="64"/>
      <c r="G72" s="83"/>
      <c r="H72" s="66"/>
    </row>
    <row r="73">
      <c r="F73" s="64"/>
      <c r="G73" s="83"/>
      <c r="H73" s="66"/>
    </row>
    <row r="74">
      <c r="F74" s="64"/>
      <c r="G74" s="83"/>
      <c r="H74" s="66"/>
    </row>
    <row r="75">
      <c r="F75" s="64"/>
      <c r="G75" s="83"/>
      <c r="H75" s="66"/>
    </row>
    <row r="76">
      <c r="F76" s="64"/>
      <c r="G76" s="83"/>
      <c r="H76" s="66"/>
    </row>
    <row r="77">
      <c r="F77" s="64"/>
      <c r="G77" s="83"/>
      <c r="H77" s="66"/>
    </row>
    <row r="78">
      <c r="F78" s="64"/>
      <c r="G78" s="83"/>
      <c r="H78" s="66"/>
    </row>
    <row r="79">
      <c r="F79" s="64"/>
      <c r="G79" s="83"/>
      <c r="H79" s="66"/>
    </row>
    <row r="80">
      <c r="F80" s="64"/>
      <c r="G80" s="83"/>
      <c r="H80" s="66"/>
    </row>
    <row r="81">
      <c r="F81" s="64"/>
      <c r="G81" s="83"/>
      <c r="H81" s="66"/>
    </row>
    <row r="82">
      <c r="F82" s="64"/>
      <c r="G82" s="83"/>
      <c r="H82" s="66"/>
    </row>
    <row r="83">
      <c r="F83" s="64"/>
      <c r="G83" s="83"/>
      <c r="H83" s="66"/>
    </row>
    <row r="84">
      <c r="F84" s="64"/>
      <c r="G84" s="83"/>
      <c r="H84" s="66"/>
    </row>
    <row r="85">
      <c r="F85" s="64"/>
      <c r="G85" s="83"/>
      <c r="H85" s="66"/>
    </row>
    <row r="86">
      <c r="F86" s="64"/>
      <c r="G86" s="83"/>
      <c r="H86" s="66"/>
    </row>
    <row r="87">
      <c r="F87" s="64"/>
      <c r="G87" s="83"/>
      <c r="H87" s="66"/>
    </row>
    <row r="88">
      <c r="F88" s="64"/>
      <c r="G88" s="83"/>
      <c r="H88" s="66"/>
    </row>
    <row r="89">
      <c r="F89" s="64"/>
      <c r="G89" s="83"/>
      <c r="H89" s="66"/>
    </row>
    <row r="90">
      <c r="F90" s="64"/>
      <c r="G90" s="83"/>
      <c r="H90" s="66"/>
    </row>
    <row r="91">
      <c r="F91" s="64"/>
      <c r="G91" s="83"/>
      <c r="H91" s="66"/>
    </row>
    <row r="92">
      <c r="F92" s="64"/>
      <c r="G92" s="83"/>
      <c r="H92" s="66"/>
    </row>
    <row r="93">
      <c r="F93" s="64"/>
      <c r="G93" s="83"/>
      <c r="H93" s="66"/>
    </row>
    <row r="94">
      <c r="F94" s="64"/>
      <c r="G94" s="83"/>
      <c r="H94" s="66"/>
    </row>
    <row r="95">
      <c r="F95" s="64"/>
      <c r="G95" s="83"/>
      <c r="H95" s="66"/>
    </row>
    <row r="96">
      <c r="F96" s="64"/>
      <c r="G96" s="83"/>
      <c r="H96" s="66"/>
    </row>
    <row r="97">
      <c r="F97" s="64"/>
      <c r="G97" s="83"/>
      <c r="H97" s="66"/>
    </row>
    <row r="98">
      <c r="F98" s="64"/>
      <c r="G98" s="83"/>
      <c r="H98" s="66"/>
    </row>
    <row r="99">
      <c r="F99" s="64"/>
      <c r="G99" s="83"/>
      <c r="H99" s="66"/>
    </row>
    <row r="100">
      <c r="F100" s="64"/>
      <c r="G100" s="83"/>
      <c r="H100" s="66"/>
    </row>
    <row r="101">
      <c r="F101" s="64"/>
      <c r="G101" s="83"/>
      <c r="H101" s="66"/>
    </row>
    <row r="102">
      <c r="F102" s="64"/>
      <c r="G102" s="83"/>
      <c r="H102" s="66"/>
    </row>
    <row r="103">
      <c r="F103" s="64"/>
      <c r="G103" s="83"/>
      <c r="H103" s="66"/>
    </row>
    <row r="104">
      <c r="F104" s="64"/>
      <c r="G104" s="83"/>
      <c r="H104" s="66"/>
    </row>
    <row r="105">
      <c r="F105" s="64"/>
      <c r="G105" s="83"/>
      <c r="H105" s="66"/>
    </row>
    <row r="106">
      <c r="F106" s="64"/>
      <c r="G106" s="83"/>
      <c r="H106" s="66"/>
    </row>
    <row r="107">
      <c r="F107" s="64"/>
      <c r="G107" s="83"/>
      <c r="H107" s="66"/>
    </row>
    <row r="108">
      <c r="F108" s="64"/>
      <c r="G108" s="83"/>
      <c r="H108" s="66"/>
    </row>
    <row r="109">
      <c r="F109" s="64"/>
      <c r="G109" s="83"/>
      <c r="H109" s="66"/>
    </row>
    <row r="110">
      <c r="F110" s="64"/>
      <c r="G110" s="83"/>
      <c r="H110" s="66"/>
    </row>
    <row r="111">
      <c r="F111" s="64"/>
      <c r="G111" s="83"/>
      <c r="H111" s="66"/>
    </row>
    <row r="112">
      <c r="F112" s="64"/>
      <c r="G112" s="83"/>
      <c r="H112" s="66"/>
    </row>
    <row r="113">
      <c r="F113" s="64"/>
      <c r="G113" s="83"/>
      <c r="H113" s="66"/>
    </row>
    <row r="114">
      <c r="F114" s="64"/>
      <c r="G114" s="83"/>
      <c r="H114" s="66"/>
    </row>
    <row r="115">
      <c r="F115" s="64"/>
      <c r="G115" s="83"/>
      <c r="H115" s="66"/>
    </row>
    <row r="116">
      <c r="F116" s="64"/>
      <c r="G116" s="83"/>
      <c r="H116" s="66"/>
    </row>
    <row r="117">
      <c r="F117" s="64"/>
      <c r="G117" s="83"/>
      <c r="H117" s="66"/>
    </row>
    <row r="118">
      <c r="F118" s="64"/>
      <c r="G118" s="83"/>
      <c r="H118" s="66"/>
    </row>
    <row r="119">
      <c r="F119" s="64"/>
      <c r="G119" s="83"/>
      <c r="H119" s="66"/>
    </row>
    <row r="120">
      <c r="F120" s="64"/>
      <c r="G120" s="83"/>
      <c r="H120" s="66"/>
    </row>
    <row r="121">
      <c r="F121" s="64"/>
      <c r="G121" s="83"/>
      <c r="H121" s="66"/>
    </row>
    <row r="122">
      <c r="F122" s="64"/>
      <c r="G122" s="83"/>
      <c r="H122" s="66"/>
    </row>
    <row r="123">
      <c r="F123" s="64"/>
      <c r="G123" s="83"/>
      <c r="H123" s="66"/>
    </row>
    <row r="124">
      <c r="F124" s="64"/>
      <c r="G124" s="83"/>
      <c r="H124" s="66"/>
    </row>
    <row r="125">
      <c r="F125" s="64"/>
      <c r="G125" s="83"/>
      <c r="H125" s="66"/>
    </row>
    <row r="126">
      <c r="F126" s="64"/>
      <c r="G126" s="83"/>
      <c r="H126" s="66"/>
    </row>
    <row r="127">
      <c r="F127" s="64"/>
      <c r="G127" s="83"/>
      <c r="H127" s="66"/>
    </row>
    <row r="128">
      <c r="F128" s="64"/>
      <c r="G128" s="83"/>
      <c r="H128" s="66"/>
    </row>
    <row r="129">
      <c r="F129" s="64"/>
      <c r="G129" s="83"/>
      <c r="H129" s="66"/>
    </row>
    <row r="130">
      <c r="F130" s="64"/>
      <c r="G130" s="83"/>
      <c r="H130" s="66"/>
    </row>
    <row r="131">
      <c r="F131" s="64"/>
      <c r="G131" s="83"/>
      <c r="H131" s="66"/>
    </row>
    <row r="132">
      <c r="F132" s="64"/>
      <c r="G132" s="83"/>
      <c r="H132" s="66"/>
    </row>
    <row r="133">
      <c r="F133" s="64"/>
      <c r="G133" s="83"/>
      <c r="H133" s="66"/>
    </row>
    <row r="134">
      <c r="F134" s="64"/>
      <c r="G134" s="83"/>
      <c r="H134" s="66"/>
    </row>
    <row r="135">
      <c r="F135" s="64"/>
      <c r="G135" s="83"/>
      <c r="H135" s="66"/>
    </row>
    <row r="136">
      <c r="F136" s="64"/>
      <c r="G136" s="83"/>
      <c r="H136" s="66"/>
    </row>
    <row r="137">
      <c r="F137" s="64"/>
      <c r="G137" s="83"/>
      <c r="H137" s="66"/>
    </row>
    <row r="138">
      <c r="F138" s="64"/>
      <c r="G138" s="83"/>
      <c r="H138" s="66"/>
    </row>
    <row r="139">
      <c r="F139" s="64"/>
      <c r="G139" s="83"/>
      <c r="H139" s="66"/>
    </row>
    <row r="140">
      <c r="F140" s="64"/>
      <c r="G140" s="83"/>
      <c r="H140" s="66"/>
    </row>
    <row r="141">
      <c r="F141" s="64"/>
      <c r="G141" s="83"/>
      <c r="H141" s="66"/>
    </row>
    <row r="142">
      <c r="F142" s="64"/>
      <c r="G142" s="83"/>
      <c r="H142" s="66"/>
    </row>
    <row r="143">
      <c r="F143" s="64"/>
      <c r="G143" s="83"/>
      <c r="H143" s="66"/>
    </row>
    <row r="144">
      <c r="F144" s="64"/>
      <c r="G144" s="83"/>
      <c r="H144" s="66"/>
    </row>
    <row r="145">
      <c r="F145" s="64"/>
      <c r="G145" s="83"/>
      <c r="H145" s="66"/>
    </row>
    <row r="146">
      <c r="F146" s="64"/>
      <c r="G146" s="83"/>
      <c r="H146" s="66"/>
    </row>
    <row r="147">
      <c r="F147" s="64"/>
      <c r="G147" s="83"/>
      <c r="H147" s="66"/>
    </row>
    <row r="148">
      <c r="F148" s="64"/>
      <c r="G148" s="83"/>
      <c r="H148" s="66"/>
    </row>
    <row r="149">
      <c r="F149" s="64"/>
      <c r="G149" s="83"/>
      <c r="H149" s="66"/>
    </row>
    <row r="150">
      <c r="F150" s="64"/>
      <c r="G150" s="83"/>
      <c r="H150" s="66"/>
    </row>
    <row r="151">
      <c r="F151" s="64"/>
      <c r="G151" s="83"/>
      <c r="H151" s="66"/>
    </row>
    <row r="152">
      <c r="F152" s="64"/>
      <c r="G152" s="83"/>
      <c r="H152" s="66"/>
    </row>
    <row r="153">
      <c r="F153" s="64"/>
      <c r="G153" s="83"/>
      <c r="H153" s="66"/>
    </row>
    <row r="154">
      <c r="F154" s="64"/>
      <c r="G154" s="83"/>
      <c r="H154" s="66"/>
    </row>
    <row r="155">
      <c r="F155" s="64"/>
      <c r="G155" s="83"/>
      <c r="H155" s="66"/>
    </row>
    <row r="156">
      <c r="F156" s="64"/>
      <c r="G156" s="83"/>
      <c r="H156" s="66"/>
    </row>
    <row r="157">
      <c r="F157" s="64"/>
      <c r="G157" s="83"/>
      <c r="H157" s="66"/>
    </row>
    <row r="158">
      <c r="F158" s="64"/>
      <c r="G158" s="83"/>
      <c r="H158" s="66"/>
    </row>
    <row r="159">
      <c r="F159" s="64"/>
      <c r="G159" s="83"/>
      <c r="H159" s="66"/>
    </row>
    <row r="160">
      <c r="F160" s="64"/>
      <c r="G160" s="83"/>
      <c r="H160" s="66"/>
    </row>
    <row r="161">
      <c r="F161" s="64"/>
      <c r="G161" s="83"/>
      <c r="H161" s="66"/>
    </row>
    <row r="162">
      <c r="F162" s="64"/>
      <c r="G162" s="83"/>
      <c r="H162" s="66"/>
    </row>
    <row r="163">
      <c r="F163" s="64"/>
      <c r="G163" s="83"/>
      <c r="H163" s="66"/>
    </row>
    <row r="164">
      <c r="F164" s="64"/>
      <c r="G164" s="83"/>
      <c r="H164" s="66"/>
    </row>
    <row r="165">
      <c r="F165" s="64"/>
      <c r="G165" s="83"/>
      <c r="H165" s="66"/>
    </row>
    <row r="166">
      <c r="F166" s="64"/>
      <c r="G166" s="83"/>
      <c r="H166" s="66"/>
    </row>
    <row r="167">
      <c r="F167" s="64"/>
      <c r="G167" s="83"/>
      <c r="H167" s="66"/>
    </row>
    <row r="168">
      <c r="F168" s="64"/>
      <c r="G168" s="83"/>
      <c r="H168" s="66"/>
    </row>
    <row r="169">
      <c r="F169" s="64"/>
      <c r="G169" s="83"/>
      <c r="H169" s="66"/>
    </row>
    <row r="170">
      <c r="F170" s="64"/>
      <c r="G170" s="83"/>
      <c r="H170" s="66"/>
    </row>
    <row r="171">
      <c r="F171" s="64"/>
      <c r="G171" s="83"/>
      <c r="H171" s="66"/>
    </row>
    <row r="172">
      <c r="F172" s="64"/>
      <c r="G172" s="83"/>
      <c r="H172" s="66"/>
    </row>
    <row r="173">
      <c r="F173" s="64"/>
      <c r="G173" s="83"/>
      <c r="H173" s="66"/>
    </row>
    <row r="174">
      <c r="F174" s="64"/>
      <c r="G174" s="83"/>
      <c r="H174" s="66"/>
    </row>
    <row r="175">
      <c r="F175" s="64"/>
      <c r="G175" s="83"/>
      <c r="H175" s="66"/>
    </row>
    <row r="176">
      <c r="F176" s="64"/>
      <c r="G176" s="83"/>
      <c r="H176" s="66"/>
    </row>
    <row r="177">
      <c r="F177" s="64"/>
      <c r="G177" s="83"/>
      <c r="H177" s="66"/>
    </row>
    <row r="178">
      <c r="F178" s="64"/>
      <c r="G178" s="83"/>
      <c r="H178" s="66"/>
    </row>
    <row r="179">
      <c r="F179" s="64"/>
      <c r="G179" s="83"/>
      <c r="H179" s="66"/>
    </row>
    <row r="180">
      <c r="F180" s="64"/>
      <c r="G180" s="83"/>
      <c r="H180" s="66"/>
    </row>
    <row r="181">
      <c r="F181" s="64"/>
      <c r="G181" s="83"/>
      <c r="H181" s="66"/>
    </row>
    <row r="182">
      <c r="F182" s="64"/>
      <c r="G182" s="83"/>
      <c r="H182" s="66"/>
    </row>
    <row r="183">
      <c r="F183" s="64"/>
      <c r="G183" s="83"/>
      <c r="H183" s="66"/>
    </row>
    <row r="184">
      <c r="F184" s="64"/>
      <c r="G184" s="83"/>
      <c r="H184" s="66"/>
    </row>
    <row r="185">
      <c r="F185" s="64"/>
      <c r="G185" s="83"/>
      <c r="H185" s="66"/>
    </row>
    <row r="186">
      <c r="F186" s="64"/>
      <c r="G186" s="83"/>
      <c r="H186" s="66"/>
    </row>
    <row r="187">
      <c r="F187" s="64"/>
      <c r="G187" s="83"/>
      <c r="H187" s="66"/>
    </row>
    <row r="188">
      <c r="F188" s="64"/>
      <c r="G188" s="83"/>
      <c r="H188" s="66"/>
    </row>
    <row r="189">
      <c r="F189" s="64"/>
      <c r="G189" s="83"/>
      <c r="H189" s="66"/>
    </row>
    <row r="190">
      <c r="F190" s="64"/>
      <c r="G190" s="83"/>
      <c r="H190" s="66"/>
    </row>
    <row r="191">
      <c r="F191" s="64"/>
      <c r="G191" s="83"/>
      <c r="H191" s="66"/>
    </row>
    <row r="192">
      <c r="F192" s="64"/>
      <c r="G192" s="83"/>
      <c r="H192" s="66"/>
    </row>
    <row r="193">
      <c r="F193" s="64"/>
      <c r="G193" s="83"/>
      <c r="H193" s="66"/>
    </row>
    <row r="194">
      <c r="F194" s="64"/>
      <c r="G194" s="83"/>
      <c r="H194" s="66"/>
    </row>
    <row r="195">
      <c r="F195" s="64"/>
      <c r="G195" s="83"/>
      <c r="H195" s="66"/>
    </row>
    <row r="196">
      <c r="F196" s="64"/>
      <c r="G196" s="83"/>
      <c r="H196" s="66"/>
    </row>
    <row r="197">
      <c r="F197" s="64"/>
      <c r="G197" s="83"/>
      <c r="H197" s="66"/>
    </row>
    <row r="198">
      <c r="F198" s="64"/>
      <c r="G198" s="83"/>
      <c r="H198" s="66"/>
    </row>
    <row r="199">
      <c r="F199" s="64"/>
      <c r="G199" s="83"/>
      <c r="H199" s="66"/>
    </row>
    <row r="200">
      <c r="F200" s="64"/>
      <c r="G200" s="83"/>
      <c r="H200" s="66"/>
    </row>
    <row r="201">
      <c r="F201" s="64"/>
      <c r="G201" s="83"/>
      <c r="H201" s="66"/>
    </row>
    <row r="202">
      <c r="F202" s="64"/>
      <c r="G202" s="83"/>
      <c r="H202" s="66"/>
    </row>
    <row r="203">
      <c r="F203" s="64"/>
      <c r="G203" s="83"/>
      <c r="H203" s="66"/>
    </row>
    <row r="204">
      <c r="F204" s="64"/>
      <c r="G204" s="83"/>
      <c r="H204" s="66"/>
    </row>
    <row r="205">
      <c r="F205" s="64"/>
      <c r="G205" s="83"/>
      <c r="H205" s="66"/>
    </row>
    <row r="206">
      <c r="F206" s="64"/>
      <c r="G206" s="83"/>
      <c r="H206" s="66"/>
    </row>
    <row r="207">
      <c r="F207" s="64"/>
      <c r="G207" s="83"/>
      <c r="H207" s="66"/>
    </row>
    <row r="208">
      <c r="F208" s="64"/>
      <c r="G208" s="83"/>
      <c r="H208" s="66"/>
    </row>
    <row r="209">
      <c r="F209" s="64"/>
      <c r="G209" s="83"/>
      <c r="H209" s="66"/>
    </row>
    <row r="210">
      <c r="F210" s="64"/>
      <c r="G210" s="83"/>
      <c r="H210" s="66"/>
    </row>
    <row r="211">
      <c r="F211" s="64"/>
      <c r="G211" s="83"/>
      <c r="H211" s="66"/>
    </row>
    <row r="212">
      <c r="F212" s="64"/>
      <c r="G212" s="83"/>
      <c r="H212" s="66"/>
    </row>
    <row r="213">
      <c r="F213" s="64"/>
      <c r="G213" s="83"/>
      <c r="H213" s="66"/>
    </row>
    <row r="214">
      <c r="F214" s="64"/>
      <c r="G214" s="83"/>
      <c r="H214" s="66"/>
    </row>
    <row r="215">
      <c r="F215" s="64"/>
      <c r="G215" s="83"/>
      <c r="H215" s="66"/>
    </row>
    <row r="216">
      <c r="F216" s="64"/>
      <c r="G216" s="83"/>
      <c r="H216" s="66"/>
    </row>
    <row r="217">
      <c r="F217" s="64"/>
      <c r="G217" s="83"/>
      <c r="H217" s="66"/>
    </row>
    <row r="218">
      <c r="F218" s="64"/>
      <c r="G218" s="83"/>
      <c r="H218" s="66"/>
    </row>
    <row r="219">
      <c r="F219" s="64"/>
      <c r="G219" s="83"/>
      <c r="H219" s="66"/>
    </row>
    <row r="220">
      <c r="F220" s="64"/>
      <c r="G220" s="83"/>
      <c r="H220" s="66"/>
    </row>
    <row r="221">
      <c r="F221" s="64"/>
      <c r="G221" s="83"/>
      <c r="H221" s="66"/>
    </row>
    <row r="222">
      <c r="F222" s="64"/>
      <c r="G222" s="83"/>
      <c r="H222" s="66"/>
    </row>
    <row r="223">
      <c r="F223" s="64"/>
      <c r="G223" s="83"/>
      <c r="H223" s="66"/>
    </row>
    <row r="224">
      <c r="F224" s="64"/>
      <c r="G224" s="83"/>
      <c r="H224" s="66"/>
    </row>
    <row r="225">
      <c r="F225" s="64"/>
      <c r="G225" s="83"/>
      <c r="H225" s="66"/>
    </row>
    <row r="226">
      <c r="F226" s="64"/>
      <c r="G226" s="83"/>
      <c r="H226" s="66"/>
    </row>
    <row r="227">
      <c r="F227" s="64"/>
      <c r="G227" s="83"/>
      <c r="H227" s="66"/>
    </row>
    <row r="228">
      <c r="F228" s="64"/>
      <c r="G228" s="83"/>
      <c r="H228" s="66"/>
    </row>
    <row r="229">
      <c r="F229" s="64"/>
      <c r="G229" s="83"/>
      <c r="H229" s="66"/>
    </row>
    <row r="230">
      <c r="F230" s="64"/>
      <c r="G230" s="83"/>
      <c r="H230" s="66"/>
    </row>
    <row r="231">
      <c r="F231" s="64"/>
      <c r="G231" s="83"/>
      <c r="H231" s="66"/>
    </row>
    <row r="232">
      <c r="F232" s="64"/>
      <c r="G232" s="83"/>
      <c r="H232" s="66"/>
    </row>
    <row r="233">
      <c r="F233" s="64"/>
      <c r="G233" s="83"/>
      <c r="H233" s="66"/>
    </row>
    <row r="234">
      <c r="F234" s="64"/>
      <c r="G234" s="83"/>
      <c r="H234" s="66"/>
    </row>
    <row r="235">
      <c r="F235" s="64"/>
      <c r="G235" s="83"/>
      <c r="H235" s="66"/>
    </row>
    <row r="236">
      <c r="F236" s="64"/>
      <c r="G236" s="83"/>
      <c r="H236" s="66"/>
    </row>
    <row r="237">
      <c r="F237" s="64"/>
      <c r="G237" s="83"/>
      <c r="H237" s="66"/>
    </row>
    <row r="238">
      <c r="F238" s="64"/>
      <c r="G238" s="83"/>
      <c r="H238" s="66"/>
    </row>
    <row r="239">
      <c r="F239" s="64"/>
      <c r="G239" s="83"/>
      <c r="H239" s="66"/>
    </row>
    <row r="240">
      <c r="F240" s="64"/>
      <c r="G240" s="83"/>
      <c r="H240" s="66"/>
    </row>
    <row r="241">
      <c r="F241" s="64"/>
      <c r="G241" s="83"/>
      <c r="H241" s="66"/>
    </row>
    <row r="242">
      <c r="F242" s="64"/>
      <c r="G242" s="83"/>
      <c r="H242" s="66"/>
    </row>
    <row r="243">
      <c r="F243" s="64"/>
      <c r="G243" s="83"/>
      <c r="H243" s="66"/>
    </row>
    <row r="244">
      <c r="F244" s="64"/>
      <c r="G244" s="83"/>
      <c r="H244" s="66"/>
    </row>
    <row r="245">
      <c r="F245" s="64"/>
      <c r="G245" s="83"/>
      <c r="H245" s="66"/>
    </row>
    <row r="246">
      <c r="F246" s="64"/>
      <c r="G246" s="83"/>
      <c r="H246" s="66"/>
    </row>
    <row r="247">
      <c r="F247" s="64"/>
      <c r="G247" s="83"/>
      <c r="H247" s="66"/>
    </row>
    <row r="248">
      <c r="F248" s="64"/>
      <c r="G248" s="83"/>
      <c r="H248" s="66"/>
    </row>
    <row r="249">
      <c r="F249" s="64"/>
      <c r="G249" s="83"/>
      <c r="H249" s="66"/>
    </row>
    <row r="250">
      <c r="F250" s="64"/>
      <c r="G250" s="83"/>
      <c r="H250" s="66"/>
    </row>
    <row r="251">
      <c r="F251" s="64"/>
      <c r="G251" s="83"/>
      <c r="H251" s="66"/>
    </row>
    <row r="252">
      <c r="F252" s="64"/>
      <c r="G252" s="83"/>
      <c r="H252" s="66"/>
    </row>
    <row r="253">
      <c r="F253" s="64"/>
      <c r="G253" s="83"/>
      <c r="H253" s="66"/>
    </row>
    <row r="254">
      <c r="F254" s="64"/>
      <c r="G254" s="83"/>
      <c r="H254" s="66"/>
    </row>
    <row r="255">
      <c r="F255" s="64"/>
      <c r="G255" s="83"/>
      <c r="H255" s="66"/>
    </row>
    <row r="256">
      <c r="F256" s="64"/>
      <c r="G256" s="83"/>
      <c r="H256" s="66"/>
    </row>
    <row r="257">
      <c r="F257" s="64"/>
      <c r="G257" s="83"/>
      <c r="H257" s="66"/>
    </row>
    <row r="258">
      <c r="F258" s="64"/>
      <c r="G258" s="83"/>
      <c r="H258" s="66"/>
    </row>
    <row r="259">
      <c r="F259" s="64"/>
      <c r="G259" s="83"/>
      <c r="H259" s="66"/>
    </row>
    <row r="260">
      <c r="F260" s="64"/>
      <c r="G260" s="83"/>
      <c r="H260" s="66"/>
    </row>
    <row r="261">
      <c r="F261" s="64"/>
      <c r="G261" s="83"/>
      <c r="H261" s="66"/>
    </row>
    <row r="262">
      <c r="F262" s="64"/>
      <c r="G262" s="83"/>
      <c r="H262" s="66"/>
    </row>
    <row r="263">
      <c r="F263" s="64"/>
      <c r="G263" s="83"/>
      <c r="H263" s="66"/>
    </row>
    <row r="264">
      <c r="F264" s="64"/>
      <c r="G264" s="83"/>
      <c r="H264" s="66"/>
    </row>
    <row r="265">
      <c r="F265" s="64"/>
      <c r="G265" s="83"/>
      <c r="H265" s="66"/>
    </row>
    <row r="266">
      <c r="F266" s="64"/>
      <c r="G266" s="83"/>
      <c r="H266" s="66"/>
    </row>
    <row r="267">
      <c r="F267" s="64"/>
      <c r="G267" s="83"/>
      <c r="H267" s="66"/>
    </row>
    <row r="268">
      <c r="F268" s="64"/>
      <c r="G268" s="83"/>
      <c r="H268" s="66"/>
    </row>
    <row r="269">
      <c r="F269" s="64"/>
      <c r="G269" s="83"/>
      <c r="H269" s="66"/>
    </row>
    <row r="270">
      <c r="F270" s="64"/>
      <c r="G270" s="83"/>
      <c r="H270" s="66"/>
    </row>
    <row r="271">
      <c r="F271" s="64"/>
      <c r="G271" s="83"/>
      <c r="H271" s="66"/>
    </row>
    <row r="272">
      <c r="F272" s="64"/>
      <c r="G272" s="83"/>
      <c r="H272" s="66"/>
    </row>
    <row r="273">
      <c r="F273" s="64"/>
      <c r="G273" s="83"/>
      <c r="H273" s="66"/>
    </row>
    <row r="274">
      <c r="F274" s="64"/>
      <c r="G274" s="83"/>
      <c r="H274" s="66"/>
    </row>
    <row r="275">
      <c r="F275" s="64"/>
      <c r="G275" s="83"/>
      <c r="H275" s="66"/>
    </row>
    <row r="276">
      <c r="F276" s="64"/>
      <c r="G276" s="83"/>
      <c r="H276" s="66"/>
    </row>
    <row r="277">
      <c r="F277" s="64"/>
      <c r="G277" s="83"/>
      <c r="H277" s="66"/>
    </row>
    <row r="278">
      <c r="F278" s="64"/>
      <c r="G278" s="83"/>
      <c r="H278" s="66"/>
    </row>
    <row r="279">
      <c r="F279" s="64"/>
      <c r="G279" s="83"/>
      <c r="H279" s="66"/>
    </row>
    <row r="280">
      <c r="F280" s="64"/>
      <c r="G280" s="83"/>
      <c r="H280" s="66"/>
    </row>
    <row r="281">
      <c r="F281" s="64"/>
      <c r="G281" s="83"/>
      <c r="H281" s="66"/>
    </row>
    <row r="282">
      <c r="F282" s="64"/>
      <c r="G282" s="83"/>
      <c r="H282" s="66"/>
    </row>
    <row r="283">
      <c r="F283" s="64"/>
      <c r="G283" s="83"/>
      <c r="H283" s="66"/>
    </row>
    <row r="284">
      <c r="F284" s="64"/>
      <c r="G284" s="83"/>
      <c r="H284" s="66"/>
    </row>
    <row r="285">
      <c r="F285" s="64"/>
      <c r="G285" s="83"/>
      <c r="H285" s="66"/>
    </row>
    <row r="286">
      <c r="F286" s="64"/>
      <c r="G286" s="83"/>
      <c r="H286" s="66"/>
    </row>
    <row r="287">
      <c r="F287" s="64"/>
      <c r="G287" s="83"/>
      <c r="H287" s="66"/>
    </row>
    <row r="288">
      <c r="F288" s="64"/>
      <c r="G288" s="83"/>
      <c r="H288" s="66"/>
    </row>
    <row r="289">
      <c r="F289" s="64"/>
      <c r="G289" s="83"/>
      <c r="H289" s="66"/>
    </row>
    <row r="290">
      <c r="F290" s="64"/>
      <c r="G290" s="83"/>
      <c r="H290" s="66"/>
    </row>
    <row r="291">
      <c r="F291" s="64"/>
      <c r="G291" s="83"/>
      <c r="H291" s="66"/>
    </row>
    <row r="292">
      <c r="F292" s="64"/>
      <c r="G292" s="83"/>
      <c r="H292" s="66"/>
    </row>
    <row r="293">
      <c r="F293" s="64"/>
      <c r="G293" s="83"/>
      <c r="H293" s="66"/>
    </row>
    <row r="294">
      <c r="F294" s="64"/>
      <c r="G294" s="83"/>
      <c r="H294" s="66"/>
    </row>
    <row r="295">
      <c r="F295" s="64"/>
      <c r="G295" s="83"/>
      <c r="H295" s="66"/>
    </row>
    <row r="296">
      <c r="F296" s="64"/>
      <c r="G296" s="83"/>
      <c r="H296" s="66"/>
    </row>
    <row r="297">
      <c r="F297" s="64"/>
      <c r="G297" s="83"/>
      <c r="H297" s="66"/>
    </row>
    <row r="298">
      <c r="F298" s="64"/>
      <c r="G298" s="83"/>
      <c r="H298" s="66"/>
    </row>
    <row r="299">
      <c r="F299" s="64"/>
      <c r="G299" s="83"/>
      <c r="H299" s="66"/>
    </row>
    <row r="300">
      <c r="F300" s="64"/>
      <c r="G300" s="83"/>
      <c r="H300" s="66"/>
    </row>
    <row r="301">
      <c r="F301" s="64"/>
      <c r="G301" s="83"/>
      <c r="H301" s="66"/>
    </row>
    <row r="302">
      <c r="F302" s="64"/>
      <c r="G302" s="83"/>
      <c r="H302" s="66"/>
    </row>
    <row r="303">
      <c r="F303" s="64"/>
      <c r="G303" s="83"/>
      <c r="H303" s="66"/>
    </row>
    <row r="304">
      <c r="F304" s="64"/>
      <c r="G304" s="83"/>
      <c r="H304" s="66"/>
    </row>
    <row r="305">
      <c r="F305" s="64"/>
      <c r="G305" s="83"/>
      <c r="H305" s="66"/>
    </row>
    <row r="306">
      <c r="F306" s="64"/>
      <c r="G306" s="83"/>
      <c r="H306" s="66"/>
    </row>
    <row r="307">
      <c r="F307" s="64"/>
      <c r="G307" s="83"/>
      <c r="H307" s="66"/>
    </row>
    <row r="308">
      <c r="F308" s="64"/>
      <c r="G308" s="83"/>
      <c r="H308" s="66"/>
    </row>
    <row r="309">
      <c r="F309" s="64"/>
      <c r="G309" s="83"/>
      <c r="H309" s="66"/>
    </row>
    <row r="310">
      <c r="F310" s="64"/>
      <c r="G310" s="83"/>
      <c r="H310" s="66"/>
    </row>
    <row r="311">
      <c r="F311" s="64"/>
      <c r="G311" s="83"/>
      <c r="H311" s="66"/>
    </row>
    <row r="312">
      <c r="F312" s="64"/>
      <c r="G312" s="83"/>
      <c r="H312" s="66"/>
    </row>
    <row r="313">
      <c r="F313" s="64"/>
      <c r="G313" s="83"/>
      <c r="H313" s="66"/>
    </row>
    <row r="314">
      <c r="F314" s="64"/>
      <c r="G314" s="83"/>
      <c r="H314" s="66"/>
    </row>
    <row r="315">
      <c r="F315" s="64"/>
      <c r="G315" s="83"/>
      <c r="H315" s="66"/>
    </row>
    <row r="316">
      <c r="F316" s="64"/>
      <c r="G316" s="83"/>
      <c r="H316" s="66"/>
    </row>
    <row r="317">
      <c r="F317" s="64"/>
      <c r="G317" s="83"/>
      <c r="H317" s="66"/>
    </row>
    <row r="318">
      <c r="F318" s="64"/>
      <c r="G318" s="83"/>
      <c r="H318" s="66"/>
    </row>
    <row r="319">
      <c r="F319" s="64"/>
      <c r="G319" s="83"/>
      <c r="H319" s="66"/>
    </row>
    <row r="320">
      <c r="F320" s="64"/>
      <c r="G320" s="83"/>
      <c r="H320" s="66"/>
    </row>
    <row r="321">
      <c r="F321" s="64"/>
      <c r="G321" s="83"/>
      <c r="H321" s="66"/>
    </row>
    <row r="322">
      <c r="F322" s="64"/>
      <c r="G322" s="83"/>
      <c r="H322" s="66"/>
    </row>
    <row r="323">
      <c r="F323" s="64"/>
      <c r="G323" s="83"/>
      <c r="H323" s="66"/>
    </row>
    <row r="324">
      <c r="F324" s="64"/>
      <c r="G324" s="83"/>
      <c r="H324" s="66"/>
    </row>
    <row r="325">
      <c r="F325" s="64"/>
      <c r="G325" s="83"/>
      <c r="H325" s="66"/>
    </row>
    <row r="326">
      <c r="F326" s="64"/>
      <c r="G326" s="83"/>
      <c r="H326" s="66"/>
    </row>
    <row r="327">
      <c r="F327" s="64"/>
      <c r="G327" s="83"/>
      <c r="H327" s="66"/>
    </row>
    <row r="328">
      <c r="F328" s="64"/>
      <c r="G328" s="83"/>
      <c r="H328" s="66"/>
    </row>
    <row r="329">
      <c r="F329" s="64"/>
      <c r="G329" s="83"/>
      <c r="H329" s="66"/>
    </row>
    <row r="330">
      <c r="F330" s="64"/>
      <c r="G330" s="83"/>
      <c r="H330" s="66"/>
    </row>
    <row r="331">
      <c r="F331" s="64"/>
      <c r="G331" s="83"/>
      <c r="H331" s="66"/>
    </row>
    <row r="332">
      <c r="F332" s="64"/>
      <c r="G332" s="83"/>
      <c r="H332" s="66"/>
    </row>
    <row r="333">
      <c r="F333" s="64"/>
      <c r="G333" s="83"/>
      <c r="H333" s="66"/>
    </row>
    <row r="334">
      <c r="F334" s="64"/>
      <c r="G334" s="83"/>
      <c r="H334" s="66"/>
    </row>
    <row r="335">
      <c r="F335" s="64"/>
      <c r="G335" s="83"/>
      <c r="H335" s="66"/>
    </row>
    <row r="336">
      <c r="F336" s="64"/>
      <c r="G336" s="83"/>
      <c r="H336" s="66"/>
    </row>
    <row r="337">
      <c r="F337" s="64"/>
      <c r="G337" s="83"/>
      <c r="H337" s="66"/>
    </row>
    <row r="338">
      <c r="F338" s="64"/>
      <c r="G338" s="83"/>
      <c r="H338" s="66"/>
    </row>
    <row r="339">
      <c r="F339" s="64"/>
      <c r="G339" s="83"/>
      <c r="H339" s="66"/>
    </row>
    <row r="340">
      <c r="F340" s="64"/>
      <c r="G340" s="83"/>
      <c r="H340" s="66"/>
    </row>
    <row r="341">
      <c r="F341" s="64"/>
      <c r="G341" s="83"/>
      <c r="H341" s="66"/>
    </row>
    <row r="342">
      <c r="F342" s="64"/>
      <c r="G342" s="83"/>
      <c r="H342" s="66"/>
    </row>
    <row r="343">
      <c r="F343" s="64"/>
      <c r="G343" s="83"/>
      <c r="H343" s="66"/>
    </row>
    <row r="344">
      <c r="F344" s="64"/>
      <c r="G344" s="83"/>
      <c r="H344" s="66"/>
    </row>
    <row r="345">
      <c r="F345" s="64"/>
      <c r="G345" s="83"/>
      <c r="H345" s="66"/>
    </row>
    <row r="346">
      <c r="F346" s="64"/>
      <c r="G346" s="83"/>
      <c r="H346" s="66"/>
    </row>
    <row r="347">
      <c r="F347" s="64"/>
      <c r="G347" s="83"/>
      <c r="H347" s="66"/>
    </row>
    <row r="348">
      <c r="F348" s="64"/>
      <c r="G348" s="83"/>
      <c r="H348" s="66"/>
    </row>
    <row r="349">
      <c r="F349" s="64"/>
      <c r="G349" s="83"/>
      <c r="H349" s="66"/>
    </row>
    <row r="350">
      <c r="F350" s="64"/>
      <c r="G350" s="83"/>
      <c r="H350" s="66"/>
    </row>
    <row r="351">
      <c r="F351" s="64"/>
      <c r="G351" s="83"/>
      <c r="H351" s="66"/>
    </row>
    <row r="352">
      <c r="F352" s="64"/>
      <c r="G352" s="83"/>
      <c r="H352" s="66"/>
    </row>
    <row r="353">
      <c r="F353" s="64"/>
      <c r="G353" s="83"/>
      <c r="H353" s="66"/>
    </row>
    <row r="354">
      <c r="F354" s="64"/>
      <c r="G354" s="83"/>
      <c r="H354" s="66"/>
    </row>
    <row r="355">
      <c r="F355" s="64"/>
      <c r="G355" s="83"/>
      <c r="H355" s="66"/>
    </row>
    <row r="356">
      <c r="F356" s="64"/>
      <c r="G356" s="83"/>
      <c r="H356" s="66"/>
    </row>
    <row r="357">
      <c r="F357" s="64"/>
      <c r="G357" s="83"/>
      <c r="H357" s="66"/>
    </row>
    <row r="358">
      <c r="F358" s="64"/>
      <c r="G358" s="83"/>
      <c r="H358" s="66"/>
    </row>
    <row r="359">
      <c r="F359" s="64"/>
      <c r="G359" s="83"/>
      <c r="H359" s="66"/>
    </row>
    <row r="360">
      <c r="F360" s="64"/>
      <c r="G360" s="83"/>
      <c r="H360" s="66"/>
    </row>
    <row r="361">
      <c r="F361" s="64"/>
      <c r="G361" s="83"/>
      <c r="H361" s="66"/>
    </row>
    <row r="362">
      <c r="F362" s="64"/>
      <c r="G362" s="83"/>
      <c r="H362" s="66"/>
    </row>
    <row r="363">
      <c r="F363" s="64"/>
      <c r="G363" s="83"/>
      <c r="H363" s="66"/>
    </row>
    <row r="364">
      <c r="F364" s="64"/>
      <c r="G364" s="83"/>
      <c r="H364" s="66"/>
    </row>
    <row r="365">
      <c r="F365" s="64"/>
      <c r="G365" s="83"/>
      <c r="H365" s="66"/>
    </row>
    <row r="366">
      <c r="F366" s="64"/>
      <c r="G366" s="83"/>
      <c r="H366" s="66"/>
    </row>
    <row r="367">
      <c r="F367" s="64"/>
      <c r="G367" s="83"/>
      <c r="H367" s="66"/>
    </row>
    <row r="368">
      <c r="F368" s="64"/>
      <c r="G368" s="83"/>
      <c r="H368" s="66"/>
    </row>
    <row r="369">
      <c r="F369" s="64"/>
      <c r="G369" s="83"/>
      <c r="H369" s="66"/>
    </row>
    <row r="370">
      <c r="F370" s="64"/>
      <c r="G370" s="83"/>
      <c r="H370" s="66"/>
    </row>
    <row r="371">
      <c r="F371" s="64"/>
      <c r="G371" s="83"/>
      <c r="H371" s="66"/>
    </row>
    <row r="372">
      <c r="F372" s="64"/>
      <c r="G372" s="83"/>
      <c r="H372" s="66"/>
    </row>
    <row r="373">
      <c r="F373" s="64"/>
      <c r="G373" s="83"/>
      <c r="H373" s="66"/>
    </row>
    <row r="374">
      <c r="F374" s="64"/>
      <c r="G374" s="83"/>
      <c r="H374" s="66"/>
    </row>
    <row r="375">
      <c r="F375" s="64"/>
      <c r="G375" s="83"/>
      <c r="H375" s="66"/>
    </row>
    <row r="376">
      <c r="F376" s="64"/>
      <c r="G376" s="83"/>
      <c r="H376" s="66"/>
    </row>
    <row r="377">
      <c r="F377" s="64"/>
      <c r="G377" s="83"/>
      <c r="H377" s="66"/>
    </row>
    <row r="378">
      <c r="F378" s="64"/>
      <c r="G378" s="83"/>
      <c r="H378" s="66"/>
    </row>
    <row r="379">
      <c r="F379" s="64"/>
      <c r="G379" s="83"/>
      <c r="H379" s="66"/>
    </row>
    <row r="380">
      <c r="F380" s="64"/>
      <c r="G380" s="83"/>
      <c r="H380" s="66"/>
    </row>
    <row r="381">
      <c r="F381" s="64"/>
      <c r="G381" s="83"/>
      <c r="H381" s="66"/>
    </row>
    <row r="382">
      <c r="F382" s="64"/>
      <c r="G382" s="83"/>
      <c r="H382" s="66"/>
    </row>
    <row r="383">
      <c r="F383" s="64"/>
      <c r="G383" s="83"/>
      <c r="H383" s="66"/>
    </row>
    <row r="384">
      <c r="F384" s="64"/>
      <c r="G384" s="83"/>
      <c r="H384" s="66"/>
    </row>
    <row r="385">
      <c r="F385" s="64"/>
      <c r="G385" s="83"/>
      <c r="H385" s="66"/>
    </row>
    <row r="386">
      <c r="F386" s="64"/>
      <c r="G386" s="83"/>
      <c r="H386" s="66"/>
    </row>
    <row r="387">
      <c r="F387" s="64"/>
      <c r="G387" s="83"/>
      <c r="H387" s="66"/>
    </row>
    <row r="388">
      <c r="F388" s="64"/>
      <c r="G388" s="83"/>
      <c r="H388" s="66"/>
    </row>
    <row r="389">
      <c r="F389" s="64"/>
      <c r="G389" s="83"/>
      <c r="H389" s="66"/>
    </row>
    <row r="390">
      <c r="F390" s="64"/>
      <c r="G390" s="83"/>
      <c r="H390" s="66"/>
    </row>
    <row r="391">
      <c r="F391" s="64"/>
      <c r="G391" s="83"/>
      <c r="H391" s="66"/>
    </row>
    <row r="392">
      <c r="F392" s="64"/>
      <c r="G392" s="83"/>
      <c r="H392" s="66"/>
    </row>
    <row r="393">
      <c r="F393" s="64"/>
      <c r="G393" s="83"/>
      <c r="H393" s="66"/>
    </row>
    <row r="394">
      <c r="F394" s="64"/>
      <c r="G394" s="83"/>
      <c r="H394" s="66"/>
    </row>
    <row r="395">
      <c r="F395" s="64"/>
      <c r="G395" s="83"/>
      <c r="H395" s="66"/>
    </row>
    <row r="396">
      <c r="F396" s="64"/>
      <c r="G396" s="83"/>
      <c r="H396" s="66"/>
    </row>
    <row r="397">
      <c r="F397" s="64"/>
      <c r="G397" s="83"/>
      <c r="H397" s="66"/>
    </row>
    <row r="398">
      <c r="F398" s="64"/>
      <c r="G398" s="83"/>
      <c r="H398" s="66"/>
    </row>
    <row r="399">
      <c r="F399" s="64"/>
      <c r="G399" s="83"/>
      <c r="H399" s="66"/>
    </row>
    <row r="400">
      <c r="F400" s="64"/>
      <c r="G400" s="83"/>
      <c r="H400" s="66"/>
    </row>
    <row r="401">
      <c r="F401" s="64"/>
      <c r="G401" s="83"/>
      <c r="H401" s="66"/>
    </row>
    <row r="402">
      <c r="F402" s="64"/>
      <c r="G402" s="83"/>
      <c r="H402" s="66"/>
    </row>
    <row r="403">
      <c r="F403" s="64"/>
      <c r="G403" s="83"/>
      <c r="H403" s="66"/>
    </row>
    <row r="404">
      <c r="F404" s="64"/>
      <c r="G404" s="83"/>
      <c r="H404" s="66"/>
    </row>
    <row r="405">
      <c r="F405" s="64"/>
      <c r="G405" s="83"/>
      <c r="H405" s="66"/>
    </row>
    <row r="406">
      <c r="F406" s="64"/>
      <c r="G406" s="83"/>
      <c r="H406" s="66"/>
    </row>
    <row r="407">
      <c r="F407" s="64"/>
      <c r="G407" s="83"/>
      <c r="H407" s="66"/>
    </row>
    <row r="408">
      <c r="F408" s="64"/>
      <c r="G408" s="83"/>
      <c r="H408" s="66"/>
    </row>
    <row r="409">
      <c r="F409" s="64"/>
      <c r="G409" s="83"/>
      <c r="H409" s="66"/>
    </row>
    <row r="410">
      <c r="F410" s="64"/>
      <c r="G410" s="83"/>
      <c r="H410" s="66"/>
    </row>
    <row r="411">
      <c r="F411" s="64"/>
      <c r="G411" s="83"/>
      <c r="H411" s="66"/>
    </row>
    <row r="412">
      <c r="F412" s="64"/>
      <c r="G412" s="83"/>
      <c r="H412" s="66"/>
    </row>
    <row r="413">
      <c r="F413" s="64"/>
      <c r="G413" s="83"/>
      <c r="H413" s="66"/>
    </row>
    <row r="414">
      <c r="F414" s="64"/>
      <c r="G414" s="83"/>
      <c r="H414" s="66"/>
    </row>
    <row r="415">
      <c r="F415" s="64"/>
      <c r="G415" s="83"/>
      <c r="H415" s="66"/>
    </row>
    <row r="416">
      <c r="F416" s="64"/>
      <c r="G416" s="83"/>
      <c r="H416" s="66"/>
    </row>
    <row r="417">
      <c r="F417" s="64"/>
      <c r="G417" s="83"/>
      <c r="H417" s="66"/>
    </row>
    <row r="418">
      <c r="F418" s="64"/>
      <c r="G418" s="83"/>
      <c r="H418" s="66"/>
    </row>
    <row r="419">
      <c r="F419" s="64"/>
      <c r="G419" s="83"/>
      <c r="H419" s="66"/>
    </row>
    <row r="420">
      <c r="F420" s="64"/>
      <c r="G420" s="83"/>
      <c r="H420" s="66"/>
    </row>
    <row r="421">
      <c r="F421" s="64"/>
      <c r="G421" s="83"/>
      <c r="H421" s="66"/>
    </row>
    <row r="422">
      <c r="F422" s="64"/>
      <c r="G422" s="83"/>
      <c r="H422" s="66"/>
    </row>
    <row r="423">
      <c r="F423" s="64"/>
      <c r="G423" s="83"/>
      <c r="H423" s="66"/>
    </row>
    <row r="424">
      <c r="F424" s="64"/>
      <c r="G424" s="83"/>
      <c r="H424" s="66"/>
    </row>
    <row r="425">
      <c r="F425" s="64"/>
      <c r="G425" s="83"/>
      <c r="H425" s="66"/>
    </row>
    <row r="426">
      <c r="F426" s="64"/>
      <c r="G426" s="83"/>
      <c r="H426" s="66"/>
    </row>
    <row r="427">
      <c r="F427" s="64"/>
      <c r="G427" s="83"/>
      <c r="H427" s="66"/>
    </row>
    <row r="428">
      <c r="F428" s="64"/>
      <c r="G428" s="83"/>
      <c r="H428" s="66"/>
    </row>
    <row r="429">
      <c r="F429" s="64"/>
      <c r="G429" s="83"/>
      <c r="H429" s="66"/>
    </row>
    <row r="430">
      <c r="F430" s="64"/>
      <c r="G430" s="83"/>
      <c r="H430" s="66"/>
    </row>
    <row r="431">
      <c r="F431" s="64"/>
      <c r="G431" s="83"/>
      <c r="H431" s="66"/>
    </row>
    <row r="432">
      <c r="F432" s="64"/>
      <c r="G432" s="83"/>
      <c r="H432" s="66"/>
    </row>
    <row r="433">
      <c r="F433" s="64"/>
      <c r="G433" s="83"/>
      <c r="H433" s="66"/>
    </row>
    <row r="434">
      <c r="F434" s="64"/>
      <c r="G434" s="83"/>
      <c r="H434" s="66"/>
    </row>
    <row r="435">
      <c r="F435" s="64"/>
      <c r="G435" s="83"/>
      <c r="H435" s="66"/>
    </row>
    <row r="436">
      <c r="F436" s="64"/>
      <c r="G436" s="83"/>
      <c r="H436" s="66"/>
    </row>
    <row r="437">
      <c r="F437" s="64"/>
      <c r="G437" s="83"/>
      <c r="H437" s="66"/>
    </row>
    <row r="438">
      <c r="F438" s="64"/>
      <c r="G438" s="83"/>
      <c r="H438" s="66"/>
    </row>
    <row r="439">
      <c r="F439" s="64"/>
      <c r="G439" s="83"/>
      <c r="H439" s="66"/>
    </row>
    <row r="440">
      <c r="F440" s="64"/>
      <c r="G440" s="83"/>
      <c r="H440" s="66"/>
    </row>
    <row r="441">
      <c r="F441" s="64"/>
      <c r="G441" s="83"/>
      <c r="H441" s="66"/>
    </row>
    <row r="442">
      <c r="F442" s="64"/>
      <c r="G442" s="83"/>
      <c r="H442" s="66"/>
    </row>
    <row r="443">
      <c r="F443" s="64"/>
      <c r="G443" s="83"/>
      <c r="H443" s="66"/>
    </row>
    <row r="444">
      <c r="F444" s="64"/>
      <c r="G444" s="83"/>
      <c r="H444" s="66"/>
    </row>
    <row r="445">
      <c r="F445" s="64"/>
      <c r="G445" s="83"/>
      <c r="H445" s="66"/>
    </row>
    <row r="446">
      <c r="F446" s="64"/>
      <c r="G446" s="83"/>
      <c r="H446" s="66"/>
    </row>
    <row r="447">
      <c r="F447" s="64"/>
      <c r="G447" s="83"/>
      <c r="H447" s="66"/>
    </row>
    <row r="448">
      <c r="F448" s="64"/>
      <c r="G448" s="83"/>
      <c r="H448" s="66"/>
    </row>
    <row r="449">
      <c r="F449" s="64"/>
      <c r="G449" s="83"/>
      <c r="H449" s="66"/>
    </row>
    <row r="450">
      <c r="F450" s="64"/>
      <c r="G450" s="83"/>
      <c r="H450" s="66"/>
    </row>
    <row r="451">
      <c r="F451" s="64"/>
      <c r="G451" s="83"/>
      <c r="H451" s="66"/>
    </row>
    <row r="452">
      <c r="F452" s="64"/>
      <c r="G452" s="83"/>
      <c r="H452" s="66"/>
    </row>
    <row r="453">
      <c r="F453" s="64"/>
      <c r="G453" s="83"/>
      <c r="H453" s="66"/>
    </row>
    <row r="454">
      <c r="F454" s="64"/>
      <c r="G454" s="83"/>
      <c r="H454" s="66"/>
    </row>
    <row r="455">
      <c r="F455" s="64"/>
      <c r="G455" s="83"/>
      <c r="H455" s="66"/>
    </row>
    <row r="456">
      <c r="F456" s="64"/>
      <c r="G456" s="83"/>
      <c r="H456" s="66"/>
    </row>
    <row r="457">
      <c r="F457" s="64"/>
      <c r="G457" s="83"/>
      <c r="H457" s="66"/>
    </row>
    <row r="458">
      <c r="F458" s="64"/>
      <c r="G458" s="83"/>
      <c r="H458" s="66"/>
    </row>
    <row r="459">
      <c r="F459" s="64"/>
      <c r="G459" s="83"/>
      <c r="H459" s="66"/>
    </row>
    <row r="460">
      <c r="F460" s="64"/>
      <c r="G460" s="83"/>
      <c r="H460" s="66"/>
    </row>
    <row r="461">
      <c r="F461" s="64"/>
      <c r="G461" s="83"/>
      <c r="H461" s="66"/>
    </row>
    <row r="462">
      <c r="F462" s="64"/>
      <c r="G462" s="83"/>
      <c r="H462" s="66"/>
    </row>
    <row r="463">
      <c r="F463" s="64"/>
      <c r="G463" s="83"/>
      <c r="H463" s="66"/>
    </row>
    <row r="464">
      <c r="F464" s="64"/>
      <c r="G464" s="83"/>
      <c r="H464" s="66"/>
    </row>
    <row r="465">
      <c r="F465" s="64"/>
      <c r="G465" s="83"/>
      <c r="H465" s="66"/>
    </row>
    <row r="466">
      <c r="F466" s="64"/>
      <c r="G466" s="83"/>
      <c r="H466" s="66"/>
    </row>
    <row r="467">
      <c r="F467" s="64"/>
      <c r="G467" s="83"/>
      <c r="H467" s="66"/>
    </row>
    <row r="468">
      <c r="F468" s="64"/>
      <c r="G468" s="83"/>
      <c r="H468" s="66"/>
    </row>
    <row r="469">
      <c r="F469" s="64"/>
      <c r="G469" s="83"/>
      <c r="H469" s="66"/>
    </row>
    <row r="470">
      <c r="F470" s="64"/>
      <c r="G470" s="83"/>
      <c r="H470" s="66"/>
    </row>
    <row r="471">
      <c r="F471" s="64"/>
      <c r="G471" s="83"/>
      <c r="H471" s="66"/>
    </row>
    <row r="472">
      <c r="F472" s="64"/>
      <c r="G472" s="83"/>
      <c r="H472" s="66"/>
    </row>
    <row r="473">
      <c r="F473" s="64"/>
      <c r="G473" s="83"/>
      <c r="H473" s="66"/>
    </row>
    <row r="474">
      <c r="F474" s="64"/>
      <c r="G474" s="83"/>
      <c r="H474" s="66"/>
    </row>
    <row r="475">
      <c r="F475" s="64"/>
      <c r="G475" s="83"/>
      <c r="H475" s="66"/>
    </row>
    <row r="476">
      <c r="F476" s="64"/>
      <c r="G476" s="83"/>
      <c r="H476" s="66"/>
    </row>
    <row r="477">
      <c r="F477" s="64"/>
      <c r="G477" s="83"/>
      <c r="H477" s="66"/>
    </row>
    <row r="478">
      <c r="F478" s="64"/>
      <c r="G478" s="83"/>
      <c r="H478" s="66"/>
    </row>
    <row r="479">
      <c r="F479" s="64"/>
      <c r="G479" s="83"/>
      <c r="H479" s="66"/>
    </row>
    <row r="480">
      <c r="F480" s="64"/>
      <c r="G480" s="83"/>
      <c r="H480" s="66"/>
    </row>
    <row r="481">
      <c r="F481" s="64"/>
      <c r="G481" s="83"/>
      <c r="H481" s="66"/>
    </row>
    <row r="482">
      <c r="F482" s="64"/>
      <c r="G482" s="83"/>
      <c r="H482" s="66"/>
    </row>
    <row r="483">
      <c r="F483" s="64"/>
      <c r="G483" s="83"/>
      <c r="H483" s="66"/>
    </row>
    <row r="484">
      <c r="F484" s="64"/>
      <c r="G484" s="83"/>
      <c r="H484" s="66"/>
    </row>
    <row r="485">
      <c r="F485" s="64"/>
      <c r="G485" s="83"/>
      <c r="H485" s="66"/>
    </row>
    <row r="486">
      <c r="F486" s="64"/>
      <c r="G486" s="83"/>
      <c r="H486" s="66"/>
    </row>
    <row r="487">
      <c r="F487" s="64"/>
      <c r="G487" s="83"/>
      <c r="H487" s="66"/>
    </row>
    <row r="488">
      <c r="F488" s="64"/>
      <c r="G488" s="83"/>
      <c r="H488" s="66"/>
    </row>
    <row r="489">
      <c r="F489" s="64"/>
      <c r="G489" s="83"/>
      <c r="H489" s="66"/>
    </row>
    <row r="490">
      <c r="F490" s="64"/>
      <c r="G490" s="83"/>
      <c r="H490" s="66"/>
    </row>
    <row r="491">
      <c r="F491" s="64"/>
      <c r="G491" s="83"/>
      <c r="H491" s="66"/>
    </row>
    <row r="492">
      <c r="F492" s="64"/>
      <c r="G492" s="83"/>
      <c r="H492" s="66"/>
    </row>
    <row r="493">
      <c r="F493" s="64"/>
      <c r="G493" s="83"/>
      <c r="H493" s="66"/>
    </row>
    <row r="494">
      <c r="F494" s="64"/>
      <c r="G494" s="83"/>
      <c r="H494" s="66"/>
    </row>
    <row r="495">
      <c r="F495" s="64"/>
      <c r="G495" s="83"/>
      <c r="H495" s="66"/>
    </row>
    <row r="496">
      <c r="F496" s="64"/>
      <c r="G496" s="83"/>
      <c r="H496" s="66"/>
    </row>
    <row r="497">
      <c r="F497" s="64"/>
      <c r="G497" s="83"/>
      <c r="H497" s="66"/>
    </row>
    <row r="498">
      <c r="F498" s="64"/>
      <c r="G498" s="83"/>
      <c r="H498" s="66"/>
    </row>
    <row r="499">
      <c r="F499" s="64"/>
      <c r="G499" s="83"/>
      <c r="H499" s="66"/>
    </row>
    <row r="500">
      <c r="F500" s="64"/>
      <c r="G500" s="83"/>
      <c r="H500" s="66"/>
    </row>
    <row r="501">
      <c r="F501" s="64"/>
      <c r="G501" s="83"/>
      <c r="H501" s="66"/>
    </row>
    <row r="502">
      <c r="F502" s="64"/>
      <c r="G502" s="83"/>
      <c r="H502" s="66"/>
    </row>
    <row r="503">
      <c r="F503" s="64"/>
      <c r="G503" s="83"/>
      <c r="H503" s="66"/>
    </row>
    <row r="504">
      <c r="F504" s="64"/>
      <c r="G504" s="83"/>
      <c r="H504" s="66"/>
    </row>
    <row r="505">
      <c r="F505" s="64"/>
      <c r="G505" s="83"/>
      <c r="H505" s="66"/>
    </row>
    <row r="506">
      <c r="F506" s="64"/>
      <c r="G506" s="83"/>
      <c r="H506" s="66"/>
    </row>
    <row r="507">
      <c r="F507" s="64"/>
      <c r="G507" s="83"/>
      <c r="H507" s="66"/>
    </row>
    <row r="508">
      <c r="F508" s="64"/>
      <c r="G508" s="83"/>
      <c r="H508" s="66"/>
    </row>
    <row r="509">
      <c r="F509" s="64"/>
      <c r="G509" s="83"/>
      <c r="H509" s="66"/>
    </row>
    <row r="510">
      <c r="F510" s="64"/>
      <c r="G510" s="83"/>
      <c r="H510" s="66"/>
    </row>
    <row r="511">
      <c r="F511" s="64"/>
      <c r="G511" s="83"/>
      <c r="H511" s="66"/>
    </row>
    <row r="512">
      <c r="F512" s="64"/>
      <c r="G512" s="83"/>
      <c r="H512" s="66"/>
    </row>
    <row r="513">
      <c r="F513" s="64"/>
      <c r="G513" s="83"/>
      <c r="H513" s="66"/>
    </row>
    <row r="514">
      <c r="F514" s="64"/>
      <c r="G514" s="83"/>
      <c r="H514" s="66"/>
    </row>
    <row r="515">
      <c r="F515" s="64"/>
      <c r="G515" s="83"/>
      <c r="H515" s="66"/>
    </row>
    <row r="516">
      <c r="F516" s="64"/>
      <c r="G516" s="83"/>
      <c r="H516" s="66"/>
    </row>
    <row r="517">
      <c r="F517" s="64"/>
      <c r="G517" s="83"/>
      <c r="H517" s="66"/>
    </row>
    <row r="518">
      <c r="F518" s="64"/>
      <c r="G518" s="83"/>
      <c r="H518" s="66"/>
    </row>
    <row r="519">
      <c r="F519" s="64"/>
      <c r="G519" s="83"/>
      <c r="H519" s="66"/>
    </row>
    <row r="520">
      <c r="F520" s="64"/>
      <c r="G520" s="83"/>
      <c r="H520" s="66"/>
    </row>
    <row r="521">
      <c r="F521" s="64"/>
      <c r="G521" s="83"/>
      <c r="H521" s="66"/>
    </row>
    <row r="522">
      <c r="F522" s="64"/>
      <c r="G522" s="83"/>
      <c r="H522" s="66"/>
    </row>
    <row r="523">
      <c r="F523" s="64"/>
      <c r="G523" s="83"/>
      <c r="H523" s="66"/>
    </row>
    <row r="524">
      <c r="F524" s="64"/>
      <c r="G524" s="83"/>
      <c r="H524" s="66"/>
    </row>
    <row r="525">
      <c r="F525" s="64"/>
      <c r="G525" s="83"/>
      <c r="H525" s="66"/>
    </row>
    <row r="526">
      <c r="F526" s="64"/>
      <c r="G526" s="83"/>
      <c r="H526" s="66"/>
    </row>
    <row r="527">
      <c r="F527" s="64"/>
      <c r="G527" s="83"/>
      <c r="H527" s="66"/>
    </row>
    <row r="528">
      <c r="F528" s="64"/>
      <c r="G528" s="83"/>
      <c r="H528" s="66"/>
    </row>
    <row r="529">
      <c r="F529" s="64"/>
      <c r="G529" s="83"/>
      <c r="H529" s="66"/>
    </row>
    <row r="530">
      <c r="F530" s="64"/>
      <c r="G530" s="83"/>
      <c r="H530" s="66"/>
    </row>
    <row r="531">
      <c r="F531" s="64"/>
      <c r="G531" s="83"/>
      <c r="H531" s="66"/>
    </row>
    <row r="532">
      <c r="F532" s="64"/>
      <c r="G532" s="83"/>
      <c r="H532" s="66"/>
    </row>
    <row r="533">
      <c r="F533" s="64"/>
      <c r="G533" s="83"/>
      <c r="H533" s="66"/>
    </row>
    <row r="534">
      <c r="F534" s="64"/>
      <c r="G534" s="83"/>
      <c r="H534" s="66"/>
    </row>
    <row r="535">
      <c r="F535" s="64"/>
      <c r="G535" s="83"/>
      <c r="H535" s="66"/>
    </row>
    <row r="536">
      <c r="F536" s="64"/>
      <c r="G536" s="83"/>
      <c r="H536" s="66"/>
    </row>
    <row r="537">
      <c r="F537" s="64"/>
      <c r="G537" s="83"/>
      <c r="H537" s="66"/>
    </row>
    <row r="538">
      <c r="F538" s="64"/>
      <c r="G538" s="83"/>
      <c r="H538" s="66"/>
    </row>
    <row r="539">
      <c r="F539" s="64"/>
      <c r="G539" s="83"/>
      <c r="H539" s="66"/>
    </row>
    <row r="540">
      <c r="F540" s="64"/>
      <c r="G540" s="83"/>
      <c r="H540" s="66"/>
    </row>
    <row r="541">
      <c r="F541" s="64"/>
      <c r="G541" s="83"/>
      <c r="H541" s="66"/>
    </row>
    <row r="542">
      <c r="F542" s="64"/>
      <c r="G542" s="83"/>
      <c r="H542" s="66"/>
    </row>
    <row r="543">
      <c r="F543" s="64"/>
      <c r="G543" s="83"/>
      <c r="H543" s="66"/>
    </row>
    <row r="544">
      <c r="F544" s="64"/>
      <c r="G544" s="83"/>
      <c r="H544" s="66"/>
    </row>
    <row r="545">
      <c r="F545" s="64"/>
      <c r="G545" s="83"/>
      <c r="H545" s="66"/>
    </row>
    <row r="546">
      <c r="F546" s="64"/>
      <c r="G546" s="83"/>
      <c r="H546" s="66"/>
    </row>
    <row r="547">
      <c r="F547" s="64"/>
      <c r="G547" s="83"/>
      <c r="H547" s="66"/>
    </row>
    <row r="548">
      <c r="F548" s="64"/>
      <c r="G548" s="83"/>
      <c r="H548" s="66"/>
    </row>
    <row r="549">
      <c r="F549" s="64"/>
      <c r="G549" s="83"/>
      <c r="H549" s="66"/>
    </row>
    <row r="550">
      <c r="F550" s="64"/>
      <c r="G550" s="83"/>
      <c r="H550" s="66"/>
    </row>
    <row r="551">
      <c r="F551" s="64"/>
      <c r="G551" s="83"/>
      <c r="H551" s="66"/>
    </row>
    <row r="552">
      <c r="F552" s="64"/>
      <c r="G552" s="83"/>
      <c r="H552" s="66"/>
    </row>
    <row r="553">
      <c r="F553" s="64"/>
      <c r="G553" s="83"/>
      <c r="H553" s="66"/>
    </row>
    <row r="554">
      <c r="F554" s="64"/>
      <c r="G554" s="83"/>
      <c r="H554" s="66"/>
    </row>
    <row r="555">
      <c r="F555" s="64"/>
      <c r="G555" s="83"/>
      <c r="H555" s="66"/>
    </row>
    <row r="556">
      <c r="F556" s="64"/>
      <c r="G556" s="83"/>
      <c r="H556" s="66"/>
    </row>
    <row r="557">
      <c r="F557" s="64"/>
      <c r="G557" s="83"/>
      <c r="H557" s="66"/>
    </row>
    <row r="558">
      <c r="F558" s="64"/>
      <c r="G558" s="83"/>
      <c r="H558" s="66"/>
    </row>
    <row r="559">
      <c r="F559" s="64"/>
      <c r="G559" s="83"/>
      <c r="H559" s="66"/>
    </row>
    <row r="560">
      <c r="F560" s="64"/>
      <c r="G560" s="83"/>
      <c r="H560" s="66"/>
    </row>
    <row r="561">
      <c r="F561" s="64"/>
      <c r="G561" s="83"/>
      <c r="H561" s="66"/>
    </row>
    <row r="562">
      <c r="F562" s="64"/>
      <c r="G562" s="83"/>
      <c r="H562" s="66"/>
    </row>
    <row r="563">
      <c r="F563" s="64"/>
      <c r="G563" s="83"/>
      <c r="H563" s="66"/>
    </row>
    <row r="564">
      <c r="F564" s="64"/>
      <c r="G564" s="83"/>
      <c r="H564" s="66"/>
    </row>
    <row r="565">
      <c r="F565" s="64"/>
      <c r="G565" s="83"/>
      <c r="H565" s="66"/>
    </row>
    <row r="566">
      <c r="F566" s="64"/>
      <c r="G566" s="83"/>
      <c r="H566" s="66"/>
    </row>
    <row r="567">
      <c r="F567" s="64"/>
      <c r="G567" s="83"/>
      <c r="H567" s="66"/>
    </row>
    <row r="568">
      <c r="F568" s="64"/>
      <c r="G568" s="83"/>
      <c r="H568" s="66"/>
    </row>
    <row r="569">
      <c r="F569" s="64"/>
      <c r="G569" s="83"/>
      <c r="H569" s="66"/>
    </row>
    <row r="570">
      <c r="F570" s="64"/>
      <c r="G570" s="83"/>
      <c r="H570" s="66"/>
    </row>
    <row r="571">
      <c r="F571" s="64"/>
      <c r="G571" s="83"/>
      <c r="H571" s="66"/>
    </row>
    <row r="572">
      <c r="F572" s="64"/>
      <c r="G572" s="83"/>
      <c r="H572" s="66"/>
    </row>
    <row r="573">
      <c r="F573" s="64"/>
      <c r="G573" s="83"/>
      <c r="H573" s="66"/>
    </row>
    <row r="574">
      <c r="F574" s="64"/>
      <c r="G574" s="83"/>
      <c r="H574" s="66"/>
    </row>
    <row r="575">
      <c r="F575" s="64"/>
      <c r="G575" s="83"/>
      <c r="H575" s="66"/>
    </row>
    <row r="576">
      <c r="F576" s="64"/>
      <c r="G576" s="83"/>
      <c r="H576" s="66"/>
    </row>
    <row r="577">
      <c r="F577" s="64"/>
      <c r="G577" s="83"/>
      <c r="H577" s="66"/>
    </row>
    <row r="578">
      <c r="F578" s="64"/>
      <c r="G578" s="83"/>
      <c r="H578" s="66"/>
    </row>
    <row r="579">
      <c r="F579" s="64"/>
      <c r="G579" s="83"/>
      <c r="H579" s="66"/>
    </row>
    <row r="580">
      <c r="F580" s="64"/>
      <c r="G580" s="83"/>
      <c r="H580" s="66"/>
    </row>
    <row r="581">
      <c r="F581" s="64"/>
      <c r="G581" s="83"/>
      <c r="H581" s="66"/>
    </row>
    <row r="582">
      <c r="F582" s="64"/>
      <c r="G582" s="83"/>
      <c r="H582" s="66"/>
    </row>
    <row r="583">
      <c r="F583" s="64"/>
      <c r="G583" s="83"/>
      <c r="H583" s="66"/>
    </row>
    <row r="584">
      <c r="F584" s="64"/>
      <c r="G584" s="83"/>
      <c r="H584" s="66"/>
    </row>
    <row r="585">
      <c r="F585" s="64"/>
      <c r="G585" s="83"/>
      <c r="H585" s="66"/>
    </row>
    <row r="586">
      <c r="F586" s="64"/>
      <c r="G586" s="83"/>
      <c r="H586" s="66"/>
    </row>
    <row r="587">
      <c r="F587" s="64"/>
      <c r="G587" s="83"/>
      <c r="H587" s="66"/>
    </row>
    <row r="588">
      <c r="F588" s="64"/>
      <c r="G588" s="83"/>
      <c r="H588" s="66"/>
    </row>
    <row r="589">
      <c r="F589" s="64"/>
      <c r="G589" s="83"/>
      <c r="H589" s="66"/>
    </row>
    <row r="590">
      <c r="F590" s="64"/>
      <c r="G590" s="83"/>
      <c r="H590" s="66"/>
    </row>
    <row r="591">
      <c r="F591" s="64"/>
      <c r="G591" s="83"/>
      <c r="H591" s="66"/>
    </row>
    <row r="592">
      <c r="F592" s="64"/>
      <c r="G592" s="83"/>
      <c r="H592" s="66"/>
    </row>
    <row r="593">
      <c r="F593" s="64"/>
      <c r="G593" s="83"/>
      <c r="H593" s="66"/>
    </row>
    <row r="594">
      <c r="F594" s="64"/>
      <c r="G594" s="83"/>
      <c r="H594" s="66"/>
    </row>
    <row r="595">
      <c r="F595" s="64"/>
      <c r="G595" s="83"/>
      <c r="H595" s="66"/>
    </row>
    <row r="596">
      <c r="F596" s="64"/>
      <c r="G596" s="83"/>
      <c r="H596" s="66"/>
    </row>
    <row r="597">
      <c r="F597" s="64"/>
      <c r="G597" s="83"/>
      <c r="H597" s="66"/>
    </row>
    <row r="598">
      <c r="F598" s="64"/>
      <c r="G598" s="83"/>
      <c r="H598" s="66"/>
    </row>
    <row r="599">
      <c r="F599" s="64"/>
      <c r="G599" s="83"/>
      <c r="H599" s="66"/>
    </row>
    <row r="600">
      <c r="F600" s="64"/>
      <c r="G600" s="83"/>
      <c r="H600" s="66"/>
    </row>
    <row r="601">
      <c r="F601" s="64"/>
      <c r="G601" s="83"/>
      <c r="H601" s="66"/>
    </row>
    <row r="602">
      <c r="F602" s="64"/>
      <c r="G602" s="83"/>
      <c r="H602" s="66"/>
    </row>
    <row r="603">
      <c r="F603" s="64"/>
      <c r="G603" s="83"/>
      <c r="H603" s="66"/>
    </row>
    <row r="604">
      <c r="F604" s="64"/>
      <c r="G604" s="83"/>
      <c r="H604" s="66"/>
    </row>
    <row r="605">
      <c r="F605" s="64"/>
      <c r="G605" s="83"/>
      <c r="H605" s="66"/>
    </row>
    <row r="606">
      <c r="F606" s="64"/>
      <c r="G606" s="83"/>
      <c r="H606" s="66"/>
    </row>
    <row r="607">
      <c r="F607" s="64"/>
      <c r="G607" s="83"/>
      <c r="H607" s="66"/>
    </row>
    <row r="608">
      <c r="F608" s="64"/>
      <c r="G608" s="83"/>
      <c r="H608" s="66"/>
    </row>
    <row r="609">
      <c r="F609" s="64"/>
      <c r="G609" s="83"/>
      <c r="H609" s="66"/>
    </row>
    <row r="610">
      <c r="F610" s="64"/>
      <c r="G610" s="83"/>
      <c r="H610" s="66"/>
    </row>
    <row r="611">
      <c r="F611" s="64"/>
      <c r="G611" s="83"/>
      <c r="H611" s="66"/>
    </row>
    <row r="612">
      <c r="F612" s="64"/>
      <c r="G612" s="83"/>
      <c r="H612" s="66"/>
    </row>
    <row r="613">
      <c r="F613" s="64"/>
      <c r="G613" s="83"/>
      <c r="H613" s="66"/>
    </row>
    <row r="614">
      <c r="F614" s="64"/>
      <c r="G614" s="83"/>
      <c r="H614" s="66"/>
    </row>
    <row r="615">
      <c r="F615" s="64"/>
      <c r="G615" s="83"/>
      <c r="H615" s="66"/>
    </row>
    <row r="616">
      <c r="F616" s="64"/>
      <c r="G616" s="83"/>
      <c r="H616" s="66"/>
    </row>
    <row r="617">
      <c r="F617" s="64"/>
      <c r="G617" s="83"/>
      <c r="H617" s="66"/>
    </row>
    <row r="618">
      <c r="F618" s="64"/>
      <c r="G618" s="83"/>
      <c r="H618" s="66"/>
    </row>
    <row r="619">
      <c r="F619" s="64"/>
      <c r="G619" s="83"/>
      <c r="H619" s="66"/>
    </row>
    <row r="620">
      <c r="F620" s="64"/>
      <c r="G620" s="83"/>
      <c r="H620" s="66"/>
    </row>
    <row r="621">
      <c r="F621" s="64"/>
      <c r="G621" s="83"/>
      <c r="H621" s="66"/>
    </row>
    <row r="622">
      <c r="F622" s="64"/>
      <c r="G622" s="83"/>
      <c r="H622" s="66"/>
    </row>
    <row r="623">
      <c r="F623" s="64"/>
      <c r="G623" s="83"/>
      <c r="H623" s="66"/>
    </row>
    <row r="624">
      <c r="F624" s="64"/>
      <c r="G624" s="83"/>
      <c r="H624" s="66"/>
    </row>
    <row r="625">
      <c r="F625" s="64"/>
      <c r="G625" s="83"/>
      <c r="H625" s="66"/>
    </row>
    <row r="626">
      <c r="F626" s="64"/>
      <c r="G626" s="83"/>
      <c r="H626" s="66"/>
    </row>
    <row r="627">
      <c r="F627" s="64"/>
      <c r="G627" s="83"/>
      <c r="H627" s="66"/>
    </row>
    <row r="628">
      <c r="F628" s="64"/>
      <c r="G628" s="83"/>
      <c r="H628" s="66"/>
    </row>
    <row r="629">
      <c r="F629" s="64"/>
      <c r="G629" s="83"/>
      <c r="H629" s="66"/>
    </row>
    <row r="630">
      <c r="F630" s="64"/>
      <c r="G630" s="83"/>
      <c r="H630" s="66"/>
    </row>
    <row r="631">
      <c r="F631" s="64"/>
      <c r="G631" s="83"/>
      <c r="H631" s="66"/>
    </row>
    <row r="632">
      <c r="F632" s="64"/>
      <c r="G632" s="83"/>
      <c r="H632" s="66"/>
    </row>
    <row r="633">
      <c r="F633" s="64"/>
      <c r="G633" s="83"/>
      <c r="H633" s="66"/>
    </row>
    <row r="634">
      <c r="F634" s="64"/>
      <c r="G634" s="83"/>
      <c r="H634" s="66"/>
    </row>
    <row r="635">
      <c r="F635" s="64"/>
      <c r="G635" s="83"/>
      <c r="H635" s="66"/>
    </row>
    <row r="636">
      <c r="F636" s="64"/>
      <c r="G636" s="83"/>
      <c r="H636" s="66"/>
    </row>
    <row r="637">
      <c r="F637" s="64"/>
      <c r="G637" s="83"/>
      <c r="H637" s="66"/>
    </row>
    <row r="638">
      <c r="F638" s="64"/>
      <c r="G638" s="83"/>
      <c r="H638" s="66"/>
    </row>
    <row r="639">
      <c r="F639" s="64"/>
      <c r="G639" s="83"/>
      <c r="H639" s="66"/>
    </row>
    <row r="640">
      <c r="F640" s="64"/>
      <c r="G640" s="83"/>
      <c r="H640" s="66"/>
    </row>
    <row r="641">
      <c r="F641" s="64"/>
      <c r="G641" s="83"/>
      <c r="H641" s="66"/>
    </row>
    <row r="642">
      <c r="F642" s="64"/>
      <c r="G642" s="83"/>
      <c r="H642" s="66"/>
    </row>
    <row r="643">
      <c r="F643" s="64"/>
      <c r="G643" s="83"/>
      <c r="H643" s="66"/>
    </row>
    <row r="644">
      <c r="F644" s="64"/>
      <c r="G644" s="83"/>
      <c r="H644" s="66"/>
    </row>
    <row r="645">
      <c r="F645" s="64"/>
      <c r="G645" s="83"/>
      <c r="H645" s="66"/>
    </row>
    <row r="646">
      <c r="F646" s="64"/>
      <c r="G646" s="83"/>
      <c r="H646" s="66"/>
    </row>
    <row r="647">
      <c r="F647" s="64"/>
      <c r="G647" s="83"/>
      <c r="H647" s="66"/>
    </row>
    <row r="648">
      <c r="F648" s="64"/>
      <c r="G648" s="83"/>
      <c r="H648" s="66"/>
    </row>
    <row r="649">
      <c r="F649" s="64"/>
      <c r="G649" s="83"/>
      <c r="H649" s="66"/>
    </row>
    <row r="650">
      <c r="F650" s="64"/>
      <c r="G650" s="83"/>
      <c r="H650" s="66"/>
    </row>
    <row r="651">
      <c r="F651" s="64"/>
      <c r="G651" s="83"/>
      <c r="H651" s="66"/>
    </row>
    <row r="652">
      <c r="F652" s="64"/>
      <c r="G652" s="83"/>
      <c r="H652" s="66"/>
    </row>
    <row r="653">
      <c r="F653" s="64"/>
      <c r="G653" s="83"/>
      <c r="H653" s="66"/>
    </row>
    <row r="654">
      <c r="F654" s="64"/>
      <c r="G654" s="83"/>
      <c r="H654" s="66"/>
    </row>
    <row r="655">
      <c r="F655" s="64"/>
      <c r="G655" s="83"/>
      <c r="H655" s="66"/>
    </row>
    <row r="656">
      <c r="F656" s="64"/>
      <c r="G656" s="83"/>
      <c r="H656" s="66"/>
    </row>
    <row r="657">
      <c r="F657" s="64"/>
      <c r="G657" s="83"/>
      <c r="H657" s="66"/>
    </row>
    <row r="658">
      <c r="F658" s="64"/>
      <c r="G658" s="83"/>
      <c r="H658" s="66"/>
    </row>
    <row r="659">
      <c r="F659" s="64"/>
      <c r="G659" s="83"/>
      <c r="H659" s="66"/>
    </row>
    <row r="660">
      <c r="F660" s="64"/>
      <c r="G660" s="83"/>
      <c r="H660" s="66"/>
    </row>
    <row r="661">
      <c r="F661" s="64"/>
      <c r="G661" s="83"/>
      <c r="H661" s="66"/>
    </row>
    <row r="662">
      <c r="F662" s="64"/>
      <c r="G662" s="83"/>
      <c r="H662" s="66"/>
    </row>
    <row r="663">
      <c r="F663" s="64"/>
      <c r="G663" s="83"/>
      <c r="H663" s="66"/>
    </row>
    <row r="664">
      <c r="F664" s="64"/>
      <c r="G664" s="83"/>
      <c r="H664" s="66"/>
    </row>
    <row r="665">
      <c r="F665" s="64"/>
      <c r="G665" s="83"/>
      <c r="H665" s="66"/>
    </row>
    <row r="666">
      <c r="F666" s="64"/>
      <c r="G666" s="83"/>
      <c r="H666" s="66"/>
    </row>
    <row r="667">
      <c r="F667" s="64"/>
      <c r="G667" s="83"/>
      <c r="H667" s="66"/>
    </row>
    <row r="668">
      <c r="F668" s="64"/>
      <c r="G668" s="83"/>
      <c r="H668" s="66"/>
    </row>
    <row r="669">
      <c r="F669" s="64"/>
      <c r="G669" s="83"/>
      <c r="H669" s="66"/>
    </row>
    <row r="670">
      <c r="F670" s="64"/>
      <c r="G670" s="83"/>
      <c r="H670" s="66"/>
    </row>
    <row r="671">
      <c r="F671" s="64"/>
      <c r="G671" s="83"/>
      <c r="H671" s="66"/>
    </row>
    <row r="672">
      <c r="F672" s="64"/>
      <c r="G672" s="83"/>
      <c r="H672" s="66"/>
    </row>
    <row r="673">
      <c r="F673" s="64"/>
      <c r="G673" s="83"/>
      <c r="H673" s="66"/>
    </row>
    <row r="674">
      <c r="F674" s="64"/>
      <c r="G674" s="83"/>
      <c r="H674" s="66"/>
    </row>
    <row r="675">
      <c r="F675" s="64"/>
      <c r="G675" s="83"/>
      <c r="H675" s="66"/>
    </row>
    <row r="676">
      <c r="F676" s="64"/>
      <c r="G676" s="83"/>
      <c r="H676" s="66"/>
    </row>
    <row r="677">
      <c r="F677" s="64"/>
      <c r="G677" s="83"/>
      <c r="H677" s="66"/>
    </row>
    <row r="678">
      <c r="F678" s="64"/>
      <c r="G678" s="83"/>
      <c r="H678" s="66"/>
    </row>
    <row r="679">
      <c r="F679" s="64"/>
      <c r="G679" s="83"/>
      <c r="H679" s="66"/>
    </row>
    <row r="680">
      <c r="F680" s="64"/>
      <c r="G680" s="83"/>
      <c r="H680" s="66"/>
    </row>
    <row r="681">
      <c r="F681" s="64"/>
      <c r="G681" s="83"/>
      <c r="H681" s="66"/>
    </row>
    <row r="682">
      <c r="F682" s="64"/>
      <c r="G682" s="83"/>
      <c r="H682" s="66"/>
    </row>
    <row r="683">
      <c r="F683" s="64"/>
      <c r="G683" s="83"/>
      <c r="H683" s="66"/>
    </row>
    <row r="684">
      <c r="F684" s="64"/>
      <c r="G684" s="83"/>
      <c r="H684" s="66"/>
    </row>
    <row r="685">
      <c r="F685" s="64"/>
      <c r="G685" s="83"/>
      <c r="H685" s="66"/>
    </row>
    <row r="686">
      <c r="F686" s="64"/>
      <c r="G686" s="83"/>
      <c r="H686" s="66"/>
    </row>
    <row r="687">
      <c r="F687" s="64"/>
      <c r="G687" s="83"/>
      <c r="H687" s="66"/>
    </row>
    <row r="688">
      <c r="F688" s="64"/>
      <c r="G688" s="83"/>
      <c r="H688" s="66"/>
    </row>
    <row r="689">
      <c r="F689" s="64"/>
      <c r="G689" s="83"/>
      <c r="H689" s="66"/>
    </row>
    <row r="690">
      <c r="F690" s="64"/>
      <c r="G690" s="83"/>
      <c r="H690" s="66"/>
    </row>
    <row r="691">
      <c r="F691" s="64"/>
      <c r="G691" s="83"/>
      <c r="H691" s="66"/>
    </row>
    <row r="692">
      <c r="F692" s="64"/>
      <c r="G692" s="83"/>
      <c r="H692" s="66"/>
    </row>
    <row r="693">
      <c r="F693" s="64"/>
      <c r="G693" s="83"/>
      <c r="H693" s="66"/>
    </row>
    <row r="694">
      <c r="F694" s="64"/>
      <c r="G694" s="83"/>
      <c r="H694" s="66"/>
    </row>
    <row r="695">
      <c r="F695" s="64"/>
      <c r="G695" s="83"/>
      <c r="H695" s="66"/>
    </row>
    <row r="696">
      <c r="F696" s="64"/>
      <c r="G696" s="83"/>
      <c r="H696" s="66"/>
    </row>
    <row r="697">
      <c r="F697" s="64"/>
      <c r="G697" s="83"/>
      <c r="H697" s="66"/>
    </row>
    <row r="698">
      <c r="F698" s="64"/>
      <c r="G698" s="83"/>
      <c r="H698" s="66"/>
    </row>
    <row r="699">
      <c r="F699" s="64"/>
      <c r="G699" s="83"/>
      <c r="H699" s="66"/>
    </row>
    <row r="700">
      <c r="F700" s="64"/>
      <c r="G700" s="83"/>
      <c r="H700" s="66"/>
    </row>
    <row r="701">
      <c r="F701" s="64"/>
      <c r="G701" s="83"/>
      <c r="H701" s="66"/>
    </row>
    <row r="702">
      <c r="F702" s="64"/>
      <c r="G702" s="83"/>
      <c r="H702" s="66"/>
    </row>
    <row r="703">
      <c r="F703" s="64"/>
      <c r="G703" s="83"/>
      <c r="H703" s="66"/>
    </row>
    <row r="704">
      <c r="F704" s="64"/>
      <c r="G704" s="83"/>
      <c r="H704" s="66"/>
    </row>
    <row r="705">
      <c r="F705" s="64"/>
      <c r="G705" s="83"/>
      <c r="H705" s="66"/>
    </row>
    <row r="706">
      <c r="F706" s="64"/>
      <c r="G706" s="83"/>
      <c r="H706" s="66"/>
    </row>
    <row r="707">
      <c r="F707" s="64"/>
      <c r="G707" s="83"/>
      <c r="H707" s="66"/>
    </row>
    <row r="708">
      <c r="F708" s="64"/>
      <c r="G708" s="83"/>
      <c r="H708" s="66"/>
    </row>
    <row r="709">
      <c r="F709" s="64"/>
      <c r="G709" s="83"/>
      <c r="H709" s="66"/>
    </row>
    <row r="710">
      <c r="F710" s="64"/>
      <c r="G710" s="83"/>
      <c r="H710" s="66"/>
    </row>
    <row r="711">
      <c r="F711" s="64"/>
      <c r="G711" s="83"/>
      <c r="H711" s="66"/>
    </row>
    <row r="712">
      <c r="F712" s="64"/>
      <c r="G712" s="83"/>
      <c r="H712" s="66"/>
    </row>
    <row r="713">
      <c r="F713" s="64"/>
      <c r="G713" s="83"/>
      <c r="H713" s="66"/>
    </row>
    <row r="714">
      <c r="F714" s="64"/>
      <c r="G714" s="83"/>
      <c r="H714" s="66"/>
    </row>
    <row r="715">
      <c r="F715" s="64"/>
      <c r="G715" s="83"/>
      <c r="H715" s="66"/>
    </row>
    <row r="716">
      <c r="F716" s="64"/>
      <c r="G716" s="83"/>
      <c r="H716" s="66"/>
    </row>
    <row r="717">
      <c r="F717" s="64"/>
      <c r="G717" s="83"/>
      <c r="H717" s="66"/>
    </row>
    <row r="718">
      <c r="F718" s="64"/>
      <c r="G718" s="83"/>
      <c r="H718" s="66"/>
    </row>
    <row r="719">
      <c r="F719" s="64"/>
      <c r="G719" s="83"/>
      <c r="H719" s="66"/>
    </row>
    <row r="720">
      <c r="F720" s="64"/>
      <c r="G720" s="83"/>
      <c r="H720" s="66"/>
    </row>
    <row r="721">
      <c r="F721" s="64"/>
      <c r="G721" s="83"/>
      <c r="H721" s="66"/>
    </row>
    <row r="722">
      <c r="F722" s="64"/>
      <c r="G722" s="83"/>
      <c r="H722" s="66"/>
    </row>
    <row r="723">
      <c r="F723" s="64"/>
      <c r="G723" s="83"/>
      <c r="H723" s="66"/>
    </row>
    <row r="724">
      <c r="F724" s="64"/>
      <c r="G724" s="83"/>
      <c r="H724" s="66"/>
    </row>
    <row r="725">
      <c r="F725" s="64"/>
      <c r="G725" s="83"/>
      <c r="H725" s="66"/>
    </row>
    <row r="726">
      <c r="F726" s="64"/>
      <c r="G726" s="83"/>
      <c r="H726" s="66"/>
    </row>
    <row r="727">
      <c r="F727" s="64"/>
      <c r="G727" s="83"/>
      <c r="H727" s="66"/>
    </row>
    <row r="728">
      <c r="F728" s="64"/>
      <c r="G728" s="83"/>
      <c r="H728" s="66"/>
    </row>
    <row r="729">
      <c r="F729" s="64"/>
      <c r="G729" s="83"/>
      <c r="H729" s="66"/>
    </row>
    <row r="730">
      <c r="F730" s="64"/>
      <c r="G730" s="83"/>
      <c r="H730" s="66"/>
    </row>
    <row r="731">
      <c r="F731" s="64"/>
      <c r="G731" s="83"/>
      <c r="H731" s="66"/>
    </row>
    <row r="732">
      <c r="F732" s="64"/>
      <c r="G732" s="83"/>
      <c r="H732" s="66"/>
    </row>
    <row r="733">
      <c r="F733" s="64"/>
      <c r="G733" s="83"/>
      <c r="H733" s="66"/>
    </row>
    <row r="734">
      <c r="F734" s="64"/>
      <c r="G734" s="83"/>
      <c r="H734" s="66"/>
    </row>
    <row r="735">
      <c r="F735" s="64"/>
      <c r="G735" s="83"/>
      <c r="H735" s="66"/>
    </row>
    <row r="736">
      <c r="F736" s="64"/>
      <c r="G736" s="83"/>
      <c r="H736" s="66"/>
    </row>
    <row r="737">
      <c r="F737" s="64"/>
      <c r="G737" s="83"/>
      <c r="H737" s="66"/>
    </row>
    <row r="738">
      <c r="F738" s="64"/>
      <c r="G738" s="83"/>
      <c r="H738" s="66"/>
    </row>
    <row r="739">
      <c r="F739" s="64"/>
      <c r="G739" s="83"/>
      <c r="H739" s="66"/>
    </row>
    <row r="740">
      <c r="F740" s="64"/>
      <c r="G740" s="83"/>
      <c r="H740" s="66"/>
    </row>
    <row r="741">
      <c r="F741" s="64"/>
      <c r="G741" s="83"/>
      <c r="H741" s="66"/>
    </row>
    <row r="742">
      <c r="F742" s="64"/>
      <c r="G742" s="83"/>
      <c r="H742" s="66"/>
    </row>
    <row r="743">
      <c r="F743" s="64"/>
      <c r="G743" s="83"/>
      <c r="H743" s="66"/>
    </row>
    <row r="744">
      <c r="F744" s="64"/>
      <c r="G744" s="83"/>
      <c r="H744" s="66"/>
    </row>
    <row r="745">
      <c r="F745" s="64"/>
      <c r="G745" s="83"/>
      <c r="H745" s="66"/>
    </row>
    <row r="746">
      <c r="F746" s="64"/>
      <c r="G746" s="83"/>
      <c r="H746" s="66"/>
    </row>
    <row r="747">
      <c r="F747" s="64"/>
      <c r="G747" s="83"/>
      <c r="H747" s="66"/>
    </row>
    <row r="748">
      <c r="F748" s="64"/>
      <c r="G748" s="83"/>
      <c r="H748" s="66"/>
    </row>
    <row r="749">
      <c r="F749" s="64"/>
      <c r="G749" s="83"/>
      <c r="H749" s="66"/>
    </row>
    <row r="750">
      <c r="F750" s="64"/>
      <c r="G750" s="83"/>
      <c r="H750" s="66"/>
    </row>
    <row r="751">
      <c r="F751" s="64"/>
      <c r="G751" s="83"/>
      <c r="H751" s="66"/>
    </row>
    <row r="752">
      <c r="F752" s="64"/>
      <c r="G752" s="83"/>
      <c r="H752" s="66"/>
    </row>
    <row r="753">
      <c r="F753" s="64"/>
      <c r="G753" s="83"/>
      <c r="H753" s="66"/>
    </row>
    <row r="754">
      <c r="F754" s="64"/>
      <c r="G754" s="83"/>
      <c r="H754" s="66"/>
    </row>
    <row r="755">
      <c r="F755" s="64"/>
      <c r="G755" s="83"/>
      <c r="H755" s="66"/>
    </row>
    <row r="756">
      <c r="F756" s="64"/>
      <c r="G756" s="83"/>
      <c r="H756" s="66"/>
    </row>
    <row r="757">
      <c r="F757" s="64"/>
      <c r="G757" s="83"/>
      <c r="H757" s="66"/>
    </row>
    <row r="758">
      <c r="F758" s="64"/>
      <c r="G758" s="83"/>
      <c r="H758" s="66"/>
    </row>
    <row r="759">
      <c r="F759" s="64"/>
      <c r="G759" s="83"/>
      <c r="H759" s="66"/>
    </row>
    <row r="760">
      <c r="F760" s="64"/>
      <c r="G760" s="83"/>
      <c r="H760" s="66"/>
    </row>
    <row r="761">
      <c r="F761" s="64"/>
      <c r="G761" s="83"/>
      <c r="H761" s="66"/>
    </row>
    <row r="762">
      <c r="F762" s="64"/>
      <c r="G762" s="83"/>
      <c r="H762" s="66"/>
    </row>
    <row r="763">
      <c r="F763" s="64"/>
      <c r="G763" s="83"/>
      <c r="H763" s="66"/>
    </row>
    <row r="764">
      <c r="F764" s="64"/>
      <c r="G764" s="83"/>
      <c r="H764" s="66"/>
    </row>
    <row r="765">
      <c r="F765" s="64"/>
      <c r="G765" s="83"/>
      <c r="H765" s="66"/>
    </row>
    <row r="766">
      <c r="F766" s="64"/>
      <c r="G766" s="83"/>
      <c r="H766" s="66"/>
    </row>
    <row r="767">
      <c r="F767" s="64"/>
      <c r="G767" s="83"/>
      <c r="H767" s="66"/>
    </row>
    <row r="768">
      <c r="F768" s="64"/>
      <c r="G768" s="83"/>
      <c r="H768" s="66"/>
    </row>
    <row r="769">
      <c r="F769" s="64"/>
      <c r="G769" s="83"/>
      <c r="H769" s="66"/>
    </row>
    <row r="770">
      <c r="F770" s="64"/>
      <c r="G770" s="83"/>
      <c r="H770" s="66"/>
    </row>
    <row r="771">
      <c r="F771" s="64"/>
      <c r="G771" s="83"/>
      <c r="H771" s="66"/>
    </row>
    <row r="772">
      <c r="F772" s="64"/>
      <c r="G772" s="83"/>
      <c r="H772" s="66"/>
    </row>
    <row r="773">
      <c r="F773" s="64"/>
      <c r="G773" s="83"/>
      <c r="H773" s="66"/>
    </row>
    <row r="774">
      <c r="F774" s="64"/>
      <c r="G774" s="83"/>
      <c r="H774" s="66"/>
    </row>
    <row r="775">
      <c r="F775" s="64"/>
      <c r="G775" s="83"/>
      <c r="H775" s="66"/>
    </row>
    <row r="776">
      <c r="F776" s="64"/>
      <c r="G776" s="83"/>
      <c r="H776" s="66"/>
    </row>
    <row r="777">
      <c r="F777" s="64"/>
      <c r="G777" s="83"/>
      <c r="H777" s="66"/>
    </row>
    <row r="778">
      <c r="F778" s="64"/>
      <c r="G778" s="83"/>
      <c r="H778" s="66"/>
    </row>
    <row r="779">
      <c r="F779" s="64"/>
      <c r="G779" s="83"/>
      <c r="H779" s="66"/>
    </row>
    <row r="780">
      <c r="F780" s="64"/>
      <c r="G780" s="83"/>
      <c r="H780" s="66"/>
    </row>
    <row r="781">
      <c r="F781" s="64"/>
      <c r="G781" s="83"/>
      <c r="H781" s="66"/>
    </row>
    <row r="782">
      <c r="F782" s="64"/>
      <c r="G782" s="83"/>
      <c r="H782" s="66"/>
    </row>
    <row r="783">
      <c r="F783" s="64"/>
      <c r="G783" s="83"/>
      <c r="H783" s="66"/>
    </row>
    <row r="784">
      <c r="F784" s="64"/>
      <c r="G784" s="83"/>
      <c r="H784" s="66"/>
    </row>
    <row r="785">
      <c r="F785" s="64"/>
      <c r="G785" s="83"/>
      <c r="H785" s="66"/>
    </row>
    <row r="786">
      <c r="F786" s="64"/>
      <c r="G786" s="83"/>
      <c r="H786" s="66"/>
    </row>
    <row r="787">
      <c r="F787" s="64"/>
      <c r="G787" s="83"/>
      <c r="H787" s="66"/>
    </row>
    <row r="788">
      <c r="F788" s="64"/>
      <c r="G788" s="83"/>
      <c r="H788" s="66"/>
    </row>
    <row r="789">
      <c r="F789" s="64"/>
      <c r="G789" s="83"/>
      <c r="H789" s="66"/>
    </row>
    <row r="790">
      <c r="F790" s="64"/>
      <c r="G790" s="83"/>
      <c r="H790" s="66"/>
    </row>
    <row r="791">
      <c r="F791" s="64"/>
      <c r="G791" s="83"/>
      <c r="H791" s="66"/>
    </row>
    <row r="792">
      <c r="F792" s="64"/>
      <c r="G792" s="83"/>
      <c r="H792" s="66"/>
    </row>
    <row r="793">
      <c r="F793" s="64"/>
      <c r="G793" s="83"/>
      <c r="H793" s="66"/>
    </row>
    <row r="794">
      <c r="F794" s="64"/>
      <c r="G794" s="83"/>
      <c r="H794" s="66"/>
    </row>
    <row r="795">
      <c r="F795" s="64"/>
      <c r="G795" s="83"/>
      <c r="H795" s="66"/>
    </row>
    <row r="796">
      <c r="F796" s="64"/>
      <c r="G796" s="83"/>
      <c r="H796" s="66"/>
    </row>
    <row r="797">
      <c r="F797" s="64"/>
      <c r="G797" s="83"/>
      <c r="H797" s="66"/>
    </row>
    <row r="798">
      <c r="F798" s="64"/>
      <c r="G798" s="83"/>
      <c r="H798" s="66"/>
    </row>
    <row r="799">
      <c r="F799" s="64"/>
      <c r="G799" s="83"/>
      <c r="H799" s="66"/>
    </row>
    <row r="800">
      <c r="F800" s="64"/>
      <c r="G800" s="83"/>
      <c r="H800" s="66"/>
    </row>
    <row r="801">
      <c r="F801" s="64"/>
      <c r="G801" s="83"/>
      <c r="H801" s="66"/>
    </row>
    <row r="802">
      <c r="F802" s="64"/>
      <c r="G802" s="83"/>
      <c r="H802" s="66"/>
    </row>
    <row r="803">
      <c r="F803" s="64"/>
      <c r="G803" s="83"/>
      <c r="H803" s="66"/>
    </row>
    <row r="804">
      <c r="F804" s="64"/>
      <c r="G804" s="83"/>
      <c r="H804" s="66"/>
    </row>
    <row r="805">
      <c r="F805" s="64"/>
      <c r="G805" s="83"/>
      <c r="H805" s="66"/>
    </row>
    <row r="806">
      <c r="F806" s="64"/>
      <c r="G806" s="83"/>
      <c r="H806" s="66"/>
    </row>
    <row r="807">
      <c r="F807" s="64"/>
      <c r="G807" s="83"/>
      <c r="H807" s="66"/>
    </row>
    <row r="808">
      <c r="F808" s="64"/>
      <c r="G808" s="83"/>
      <c r="H808" s="66"/>
    </row>
    <row r="809">
      <c r="F809" s="64"/>
      <c r="G809" s="83"/>
      <c r="H809" s="66"/>
    </row>
    <row r="810">
      <c r="F810" s="64"/>
      <c r="G810" s="83"/>
      <c r="H810" s="66"/>
    </row>
    <row r="811">
      <c r="F811" s="64"/>
      <c r="G811" s="83"/>
      <c r="H811" s="66"/>
    </row>
    <row r="812">
      <c r="F812" s="64"/>
      <c r="G812" s="83"/>
      <c r="H812" s="66"/>
    </row>
    <row r="813">
      <c r="F813" s="64"/>
      <c r="G813" s="83"/>
      <c r="H813" s="66"/>
    </row>
    <row r="814">
      <c r="F814" s="64"/>
      <c r="G814" s="83"/>
      <c r="H814" s="66"/>
    </row>
    <row r="815">
      <c r="F815" s="64"/>
      <c r="G815" s="83"/>
      <c r="H815" s="66"/>
    </row>
    <row r="816">
      <c r="F816" s="64"/>
      <c r="G816" s="83"/>
      <c r="H816" s="66"/>
    </row>
    <row r="817">
      <c r="F817" s="64"/>
      <c r="G817" s="83"/>
      <c r="H817" s="66"/>
    </row>
    <row r="818">
      <c r="F818" s="64"/>
      <c r="G818" s="83"/>
      <c r="H818" s="66"/>
    </row>
    <row r="819">
      <c r="F819" s="64"/>
      <c r="G819" s="83"/>
      <c r="H819" s="66"/>
    </row>
    <row r="820">
      <c r="F820" s="64"/>
      <c r="G820" s="83"/>
      <c r="H820" s="66"/>
    </row>
    <row r="821">
      <c r="F821" s="64"/>
      <c r="G821" s="83"/>
      <c r="H821" s="66"/>
    </row>
    <row r="822">
      <c r="F822" s="64"/>
      <c r="G822" s="83"/>
      <c r="H822" s="66"/>
    </row>
    <row r="823">
      <c r="F823" s="64"/>
      <c r="G823" s="83"/>
      <c r="H823" s="66"/>
    </row>
    <row r="824">
      <c r="F824" s="64"/>
      <c r="G824" s="83"/>
      <c r="H824" s="66"/>
    </row>
    <row r="825">
      <c r="F825" s="64"/>
      <c r="G825" s="83"/>
      <c r="H825" s="66"/>
    </row>
    <row r="826">
      <c r="F826" s="64"/>
      <c r="G826" s="83"/>
      <c r="H826" s="66"/>
    </row>
    <row r="827">
      <c r="F827" s="64"/>
      <c r="G827" s="83"/>
      <c r="H827" s="66"/>
    </row>
    <row r="828">
      <c r="F828" s="64"/>
      <c r="G828" s="83"/>
      <c r="H828" s="66"/>
    </row>
    <row r="829">
      <c r="F829" s="64"/>
      <c r="G829" s="83"/>
      <c r="H829" s="66"/>
    </row>
    <row r="830">
      <c r="F830" s="64"/>
      <c r="G830" s="83"/>
      <c r="H830" s="66"/>
    </row>
    <row r="831">
      <c r="F831" s="64"/>
      <c r="G831" s="83"/>
      <c r="H831" s="66"/>
    </row>
    <row r="832">
      <c r="F832" s="64"/>
      <c r="G832" s="83"/>
      <c r="H832" s="66"/>
    </row>
    <row r="833">
      <c r="F833" s="64"/>
      <c r="G833" s="83"/>
      <c r="H833" s="66"/>
    </row>
    <row r="834">
      <c r="F834" s="64"/>
      <c r="G834" s="83"/>
      <c r="H834" s="66"/>
    </row>
    <row r="835">
      <c r="F835" s="64"/>
      <c r="G835" s="83"/>
      <c r="H835" s="66"/>
    </row>
    <row r="836">
      <c r="F836" s="64"/>
      <c r="G836" s="83"/>
      <c r="H836" s="66"/>
    </row>
    <row r="837">
      <c r="F837" s="64"/>
      <c r="G837" s="83"/>
      <c r="H837" s="66"/>
    </row>
    <row r="838">
      <c r="F838" s="64"/>
      <c r="G838" s="83"/>
      <c r="H838" s="66"/>
    </row>
    <row r="839">
      <c r="F839" s="64"/>
      <c r="G839" s="83"/>
      <c r="H839" s="66"/>
    </row>
    <row r="840">
      <c r="F840" s="64"/>
      <c r="G840" s="83"/>
      <c r="H840" s="66"/>
    </row>
    <row r="841">
      <c r="F841" s="64"/>
      <c r="G841" s="83"/>
      <c r="H841" s="66"/>
    </row>
    <row r="842">
      <c r="F842" s="64"/>
      <c r="G842" s="83"/>
      <c r="H842" s="66"/>
    </row>
    <row r="843">
      <c r="F843" s="64"/>
      <c r="G843" s="83"/>
      <c r="H843" s="66"/>
    </row>
    <row r="844">
      <c r="F844" s="64"/>
      <c r="G844" s="83"/>
      <c r="H844" s="66"/>
    </row>
    <row r="845">
      <c r="F845" s="64"/>
      <c r="G845" s="83"/>
      <c r="H845" s="66"/>
    </row>
    <row r="846">
      <c r="F846" s="64"/>
      <c r="G846" s="83"/>
      <c r="H846" s="66"/>
    </row>
    <row r="847">
      <c r="F847" s="64"/>
      <c r="G847" s="83"/>
      <c r="H847" s="66"/>
    </row>
    <row r="848">
      <c r="F848" s="64"/>
      <c r="G848" s="83"/>
      <c r="H848" s="66"/>
    </row>
    <row r="849">
      <c r="F849" s="64"/>
      <c r="G849" s="83"/>
      <c r="H849" s="66"/>
    </row>
    <row r="850">
      <c r="F850" s="64"/>
      <c r="G850" s="83"/>
      <c r="H850" s="66"/>
    </row>
    <row r="851">
      <c r="F851" s="64"/>
      <c r="G851" s="83"/>
      <c r="H851" s="66"/>
    </row>
    <row r="852">
      <c r="F852" s="64"/>
      <c r="G852" s="83"/>
      <c r="H852" s="66"/>
    </row>
    <row r="853">
      <c r="F853" s="64"/>
      <c r="G853" s="83"/>
      <c r="H853" s="66"/>
    </row>
    <row r="854">
      <c r="F854" s="64"/>
      <c r="G854" s="83"/>
      <c r="H854" s="66"/>
    </row>
    <row r="855">
      <c r="F855" s="64"/>
      <c r="G855" s="83"/>
      <c r="H855" s="66"/>
    </row>
    <row r="856">
      <c r="F856" s="64"/>
      <c r="G856" s="83"/>
      <c r="H856" s="66"/>
    </row>
    <row r="857">
      <c r="F857" s="64"/>
      <c r="G857" s="83"/>
      <c r="H857" s="66"/>
    </row>
    <row r="858">
      <c r="F858" s="64"/>
      <c r="G858" s="83"/>
      <c r="H858" s="66"/>
    </row>
    <row r="859">
      <c r="F859" s="64"/>
      <c r="G859" s="83"/>
      <c r="H859" s="66"/>
    </row>
    <row r="860">
      <c r="F860" s="64"/>
      <c r="G860" s="83"/>
      <c r="H860" s="66"/>
    </row>
    <row r="861">
      <c r="F861" s="64"/>
      <c r="G861" s="83"/>
      <c r="H861" s="66"/>
    </row>
    <row r="862">
      <c r="F862" s="64"/>
      <c r="G862" s="83"/>
      <c r="H862" s="66"/>
    </row>
    <row r="863">
      <c r="F863" s="64"/>
      <c r="G863" s="83"/>
      <c r="H863" s="66"/>
    </row>
    <row r="864">
      <c r="F864" s="64"/>
      <c r="G864" s="83"/>
      <c r="H864" s="66"/>
    </row>
    <row r="865">
      <c r="F865" s="64"/>
      <c r="G865" s="83"/>
      <c r="H865" s="66"/>
    </row>
    <row r="866">
      <c r="F866" s="64"/>
      <c r="G866" s="83"/>
      <c r="H866" s="66"/>
    </row>
    <row r="867">
      <c r="F867" s="64"/>
      <c r="G867" s="83"/>
      <c r="H867" s="66"/>
    </row>
    <row r="868">
      <c r="F868" s="64"/>
      <c r="G868" s="83"/>
      <c r="H868" s="66"/>
    </row>
    <row r="869">
      <c r="F869" s="64"/>
      <c r="G869" s="83"/>
      <c r="H869" s="66"/>
    </row>
    <row r="870">
      <c r="F870" s="64"/>
      <c r="G870" s="83"/>
      <c r="H870" s="66"/>
    </row>
    <row r="871">
      <c r="F871" s="64"/>
      <c r="G871" s="83"/>
      <c r="H871" s="66"/>
    </row>
    <row r="872">
      <c r="F872" s="64"/>
      <c r="G872" s="83"/>
      <c r="H872" s="66"/>
    </row>
    <row r="873">
      <c r="F873" s="64"/>
      <c r="G873" s="83"/>
      <c r="H873" s="66"/>
    </row>
    <row r="874">
      <c r="F874" s="64"/>
      <c r="G874" s="83"/>
      <c r="H874" s="66"/>
    </row>
    <row r="875">
      <c r="F875" s="64"/>
      <c r="G875" s="83"/>
      <c r="H875" s="66"/>
    </row>
    <row r="876">
      <c r="F876" s="64"/>
      <c r="G876" s="83"/>
      <c r="H876" s="66"/>
    </row>
    <row r="877">
      <c r="F877" s="64"/>
      <c r="G877" s="83"/>
      <c r="H877" s="66"/>
    </row>
    <row r="878">
      <c r="F878" s="64"/>
      <c r="G878" s="83"/>
      <c r="H878" s="66"/>
    </row>
    <row r="879">
      <c r="F879" s="64"/>
      <c r="G879" s="83"/>
      <c r="H879" s="66"/>
    </row>
    <row r="880">
      <c r="F880" s="64"/>
      <c r="G880" s="83"/>
      <c r="H880" s="66"/>
    </row>
    <row r="881">
      <c r="F881" s="64"/>
      <c r="G881" s="83"/>
      <c r="H881" s="66"/>
    </row>
    <row r="882">
      <c r="F882" s="64"/>
      <c r="G882" s="83"/>
      <c r="H882" s="66"/>
    </row>
    <row r="883">
      <c r="F883" s="64"/>
      <c r="G883" s="83"/>
      <c r="H883" s="66"/>
    </row>
    <row r="884">
      <c r="F884" s="64"/>
      <c r="G884" s="83"/>
      <c r="H884" s="66"/>
    </row>
    <row r="885">
      <c r="F885" s="64"/>
      <c r="G885" s="83"/>
      <c r="H885" s="66"/>
    </row>
    <row r="886">
      <c r="F886" s="64"/>
      <c r="G886" s="83"/>
      <c r="H886" s="66"/>
    </row>
    <row r="887">
      <c r="F887" s="64"/>
      <c r="G887" s="83"/>
      <c r="H887" s="66"/>
    </row>
    <row r="888">
      <c r="F888" s="64"/>
      <c r="G888" s="83"/>
      <c r="H888" s="66"/>
    </row>
    <row r="889">
      <c r="F889" s="64"/>
      <c r="G889" s="83"/>
      <c r="H889" s="66"/>
    </row>
    <row r="890">
      <c r="F890" s="64"/>
      <c r="G890" s="83"/>
      <c r="H890" s="66"/>
    </row>
    <row r="891">
      <c r="F891" s="64"/>
      <c r="G891" s="83"/>
      <c r="H891" s="66"/>
    </row>
    <row r="892">
      <c r="F892" s="64"/>
      <c r="G892" s="83"/>
      <c r="H892" s="66"/>
    </row>
    <row r="893">
      <c r="F893" s="64"/>
      <c r="G893" s="83"/>
      <c r="H893" s="66"/>
    </row>
    <row r="894">
      <c r="F894" s="64"/>
      <c r="G894" s="83"/>
      <c r="H894" s="66"/>
    </row>
    <row r="895">
      <c r="F895" s="64"/>
      <c r="G895" s="83"/>
      <c r="H895" s="66"/>
    </row>
    <row r="896">
      <c r="F896" s="64"/>
      <c r="G896" s="83"/>
      <c r="H896" s="66"/>
    </row>
    <row r="897">
      <c r="F897" s="64"/>
      <c r="G897" s="83"/>
      <c r="H897" s="66"/>
    </row>
    <row r="898">
      <c r="F898" s="64"/>
      <c r="G898" s="83"/>
      <c r="H898" s="66"/>
    </row>
    <row r="899">
      <c r="F899" s="64"/>
      <c r="G899" s="83"/>
      <c r="H899" s="66"/>
    </row>
    <row r="900">
      <c r="F900" s="64"/>
      <c r="G900" s="83"/>
      <c r="H900" s="66"/>
    </row>
    <row r="901">
      <c r="F901" s="64"/>
      <c r="G901" s="83"/>
      <c r="H901" s="66"/>
    </row>
    <row r="902">
      <c r="F902" s="64"/>
      <c r="G902" s="83"/>
      <c r="H902" s="66"/>
    </row>
    <row r="903">
      <c r="F903" s="64"/>
      <c r="G903" s="83"/>
      <c r="H903" s="66"/>
    </row>
    <row r="904">
      <c r="F904" s="64"/>
      <c r="G904" s="83"/>
      <c r="H904" s="66"/>
    </row>
    <row r="905">
      <c r="F905" s="64"/>
      <c r="G905" s="83"/>
      <c r="H905" s="66"/>
    </row>
    <row r="906">
      <c r="F906" s="64"/>
      <c r="G906" s="83"/>
      <c r="H906" s="66"/>
    </row>
    <row r="907">
      <c r="F907" s="64"/>
      <c r="G907" s="83"/>
      <c r="H907" s="66"/>
    </row>
    <row r="908">
      <c r="F908" s="64"/>
      <c r="G908" s="83"/>
      <c r="H908" s="66"/>
    </row>
    <row r="909">
      <c r="F909" s="64"/>
      <c r="G909" s="83"/>
      <c r="H909" s="66"/>
    </row>
    <row r="910">
      <c r="F910" s="64"/>
      <c r="G910" s="83"/>
      <c r="H910" s="66"/>
    </row>
    <row r="911">
      <c r="F911" s="64"/>
      <c r="G911" s="83"/>
      <c r="H911" s="66"/>
    </row>
    <row r="912">
      <c r="F912" s="64"/>
      <c r="G912" s="83"/>
      <c r="H912" s="66"/>
    </row>
    <row r="913">
      <c r="F913" s="64"/>
      <c r="G913" s="83"/>
      <c r="H913" s="66"/>
    </row>
    <row r="914">
      <c r="F914" s="64"/>
      <c r="G914" s="83"/>
      <c r="H914" s="66"/>
    </row>
    <row r="915">
      <c r="F915" s="64"/>
      <c r="G915" s="83"/>
      <c r="H915" s="66"/>
    </row>
    <row r="916">
      <c r="F916" s="64"/>
      <c r="G916" s="83"/>
      <c r="H916" s="66"/>
    </row>
    <row r="917">
      <c r="F917" s="64"/>
      <c r="G917" s="83"/>
      <c r="H917" s="66"/>
    </row>
    <row r="918">
      <c r="F918" s="64"/>
      <c r="G918" s="83"/>
      <c r="H918" s="66"/>
    </row>
    <row r="919">
      <c r="F919" s="64"/>
      <c r="G919" s="83"/>
      <c r="H919" s="66"/>
    </row>
    <row r="920">
      <c r="F920" s="64"/>
      <c r="G920" s="83"/>
      <c r="H920" s="66"/>
    </row>
    <row r="921">
      <c r="F921" s="64"/>
      <c r="G921" s="83"/>
      <c r="H921" s="66"/>
    </row>
    <row r="922">
      <c r="F922" s="64"/>
      <c r="G922" s="83"/>
      <c r="H922" s="66"/>
    </row>
    <row r="923">
      <c r="F923" s="64"/>
      <c r="G923" s="83"/>
      <c r="H923" s="66"/>
    </row>
    <row r="924">
      <c r="F924" s="64"/>
      <c r="G924" s="83"/>
      <c r="H924" s="66"/>
    </row>
    <row r="925">
      <c r="F925" s="64"/>
      <c r="G925" s="83"/>
      <c r="H925" s="66"/>
    </row>
    <row r="926">
      <c r="F926" s="64"/>
      <c r="G926" s="83"/>
      <c r="H926" s="66"/>
    </row>
    <row r="927">
      <c r="F927" s="64"/>
      <c r="G927" s="83"/>
      <c r="H927" s="66"/>
    </row>
    <row r="928">
      <c r="F928" s="64"/>
      <c r="G928" s="83"/>
      <c r="H928" s="66"/>
    </row>
    <row r="929">
      <c r="F929" s="64"/>
      <c r="G929" s="83"/>
      <c r="H929" s="66"/>
    </row>
    <row r="930">
      <c r="F930" s="64"/>
      <c r="G930" s="83"/>
      <c r="H930" s="66"/>
    </row>
    <row r="931">
      <c r="F931" s="64"/>
      <c r="G931" s="83"/>
      <c r="H931" s="66"/>
    </row>
    <row r="932">
      <c r="F932" s="64"/>
      <c r="G932" s="83"/>
      <c r="H932" s="66"/>
    </row>
    <row r="933">
      <c r="F933" s="64"/>
      <c r="G933" s="83"/>
      <c r="H933" s="66"/>
    </row>
    <row r="934">
      <c r="F934" s="64"/>
      <c r="G934" s="83"/>
      <c r="H934" s="66"/>
    </row>
    <row r="935">
      <c r="F935" s="64"/>
      <c r="G935" s="83"/>
      <c r="H935" s="66"/>
    </row>
    <row r="936">
      <c r="F936" s="64"/>
      <c r="G936" s="83"/>
      <c r="H936" s="66"/>
    </row>
    <row r="937">
      <c r="F937" s="64"/>
      <c r="G937" s="83"/>
      <c r="H937" s="66"/>
    </row>
    <row r="938">
      <c r="F938" s="64"/>
      <c r="G938" s="83"/>
      <c r="H938" s="66"/>
    </row>
    <row r="939">
      <c r="F939" s="64"/>
      <c r="G939" s="83"/>
      <c r="H939" s="66"/>
    </row>
    <row r="940">
      <c r="F940" s="64"/>
      <c r="G940" s="83"/>
      <c r="H940" s="66"/>
    </row>
    <row r="941">
      <c r="F941" s="64"/>
      <c r="G941" s="83"/>
      <c r="H941" s="66"/>
    </row>
    <row r="942">
      <c r="F942" s="64"/>
      <c r="G942" s="83"/>
      <c r="H942" s="66"/>
    </row>
    <row r="943">
      <c r="F943" s="64"/>
      <c r="G943" s="83"/>
      <c r="H943" s="66"/>
    </row>
    <row r="944">
      <c r="F944" s="64"/>
      <c r="G944" s="83"/>
      <c r="H944" s="66"/>
    </row>
    <row r="945">
      <c r="F945" s="64"/>
      <c r="G945" s="83"/>
      <c r="H945" s="66"/>
    </row>
    <row r="946">
      <c r="F946" s="64"/>
      <c r="G946" s="83"/>
      <c r="H946" s="66"/>
    </row>
    <row r="947">
      <c r="F947" s="64"/>
      <c r="G947" s="83"/>
      <c r="H947" s="66"/>
    </row>
    <row r="948">
      <c r="F948" s="64"/>
      <c r="G948" s="83"/>
      <c r="H948" s="66"/>
    </row>
    <row r="949">
      <c r="F949" s="64"/>
      <c r="G949" s="83"/>
      <c r="H949" s="66"/>
    </row>
    <row r="950">
      <c r="F950" s="64"/>
      <c r="G950" s="83"/>
      <c r="H950" s="66"/>
    </row>
    <row r="951">
      <c r="F951" s="64"/>
      <c r="G951" s="83"/>
      <c r="H951" s="66"/>
    </row>
    <row r="952">
      <c r="F952" s="64"/>
      <c r="G952" s="83"/>
      <c r="H952" s="66"/>
    </row>
    <row r="953">
      <c r="F953" s="64"/>
      <c r="G953" s="83"/>
      <c r="H953" s="66"/>
    </row>
    <row r="954">
      <c r="F954" s="64"/>
      <c r="G954" s="83"/>
      <c r="H954" s="66"/>
    </row>
    <row r="955">
      <c r="F955" s="64"/>
      <c r="G955" s="83"/>
      <c r="H955" s="66"/>
    </row>
    <row r="956">
      <c r="F956" s="64"/>
      <c r="G956" s="83"/>
      <c r="H956" s="66"/>
    </row>
    <row r="957">
      <c r="F957" s="64"/>
      <c r="G957" s="83"/>
      <c r="H957" s="66"/>
    </row>
    <row r="958">
      <c r="F958" s="64"/>
      <c r="G958" s="83"/>
      <c r="H958" s="66"/>
    </row>
    <row r="959">
      <c r="F959" s="64"/>
      <c r="G959" s="83"/>
      <c r="H959" s="66"/>
    </row>
    <row r="960">
      <c r="F960" s="64"/>
      <c r="G960" s="83"/>
      <c r="H960" s="66"/>
    </row>
    <row r="961">
      <c r="F961" s="64"/>
      <c r="G961" s="83"/>
      <c r="H961" s="66"/>
    </row>
    <row r="962">
      <c r="F962" s="64"/>
      <c r="G962" s="83"/>
      <c r="H962" s="66"/>
    </row>
    <row r="963">
      <c r="F963" s="64"/>
      <c r="G963" s="83"/>
      <c r="H963" s="66"/>
    </row>
    <row r="964">
      <c r="F964" s="64"/>
      <c r="G964" s="83"/>
      <c r="H964" s="66"/>
    </row>
    <row r="965">
      <c r="F965" s="64"/>
      <c r="G965" s="83"/>
      <c r="H965" s="66"/>
    </row>
    <row r="966">
      <c r="F966" s="64"/>
      <c r="G966" s="83"/>
      <c r="H966" s="66"/>
    </row>
    <row r="967">
      <c r="F967" s="64"/>
      <c r="G967" s="83"/>
      <c r="H967" s="66"/>
    </row>
    <row r="968">
      <c r="F968" s="64"/>
      <c r="G968" s="83"/>
      <c r="H968" s="66"/>
    </row>
    <row r="969">
      <c r="F969" s="64"/>
      <c r="G969" s="83"/>
      <c r="H969" s="66"/>
    </row>
    <row r="970">
      <c r="F970" s="64"/>
      <c r="G970" s="83"/>
      <c r="H970" s="66"/>
    </row>
    <row r="971">
      <c r="F971" s="64"/>
      <c r="G971" s="83"/>
      <c r="H971" s="66"/>
    </row>
    <row r="972">
      <c r="F972" s="64"/>
      <c r="G972" s="83"/>
      <c r="H972" s="66"/>
    </row>
    <row r="973">
      <c r="F973" s="64"/>
      <c r="G973" s="83"/>
      <c r="H973" s="66"/>
    </row>
    <row r="974">
      <c r="F974" s="64"/>
      <c r="G974" s="83"/>
      <c r="H974" s="66"/>
    </row>
    <row r="975">
      <c r="F975" s="64"/>
      <c r="G975" s="83"/>
      <c r="H975" s="66"/>
    </row>
    <row r="976">
      <c r="F976" s="64"/>
      <c r="G976" s="83"/>
      <c r="H976" s="66"/>
    </row>
    <row r="977">
      <c r="F977" s="64"/>
      <c r="G977" s="83"/>
      <c r="H977" s="66"/>
    </row>
    <row r="978">
      <c r="F978" s="64"/>
      <c r="G978" s="83"/>
      <c r="H978" s="66"/>
    </row>
    <row r="979">
      <c r="F979" s="64"/>
      <c r="G979" s="83"/>
      <c r="H979" s="66"/>
    </row>
    <row r="980">
      <c r="F980" s="64"/>
      <c r="G980" s="83"/>
      <c r="H980" s="66"/>
    </row>
    <row r="981">
      <c r="F981" s="64"/>
      <c r="G981" s="83"/>
      <c r="H981" s="66"/>
    </row>
    <row r="982">
      <c r="F982" s="64"/>
      <c r="G982" s="83"/>
      <c r="H982" s="66"/>
    </row>
    <row r="983">
      <c r="F983" s="64"/>
      <c r="G983" s="83"/>
      <c r="H983" s="66"/>
    </row>
    <row r="984">
      <c r="F984" s="64"/>
      <c r="G984" s="83"/>
      <c r="H984" s="66"/>
    </row>
    <row r="985">
      <c r="F985" s="64"/>
      <c r="G985" s="83"/>
      <c r="H985" s="66"/>
    </row>
    <row r="986">
      <c r="F986" s="64"/>
      <c r="G986" s="83"/>
      <c r="H986" s="66"/>
    </row>
    <row r="987">
      <c r="F987" s="64"/>
      <c r="G987" s="83"/>
      <c r="H987" s="66"/>
    </row>
    <row r="988">
      <c r="F988" s="64"/>
      <c r="G988" s="83"/>
      <c r="H988" s="66"/>
    </row>
    <row r="989">
      <c r="F989" s="64"/>
      <c r="G989" s="83"/>
      <c r="H989" s="66"/>
    </row>
    <row r="990">
      <c r="F990" s="64"/>
      <c r="G990" s="83"/>
      <c r="H990" s="66"/>
    </row>
    <row r="991">
      <c r="F991" s="64"/>
      <c r="G991" s="83"/>
      <c r="H991" s="66"/>
    </row>
    <row r="992">
      <c r="F992" s="64"/>
      <c r="G992" s="83"/>
      <c r="H992" s="66"/>
    </row>
    <row r="993">
      <c r="F993" s="64"/>
      <c r="G993" s="83"/>
      <c r="H993" s="66"/>
    </row>
    <row r="994">
      <c r="F994" s="64"/>
      <c r="G994" s="83"/>
      <c r="H994" s="66"/>
    </row>
    <row r="995">
      <c r="F995" s="64"/>
      <c r="G995" s="83"/>
      <c r="H995" s="66"/>
    </row>
    <row r="996">
      <c r="F996" s="64"/>
      <c r="G996" s="83"/>
      <c r="H996" s="66"/>
    </row>
    <row r="997">
      <c r="F997" s="64"/>
      <c r="G997" s="83"/>
      <c r="H997" s="66"/>
    </row>
    <row r="998">
      <c r="F998" s="64"/>
      <c r="G998" s="83"/>
      <c r="H998" s="66"/>
    </row>
    <row r="999">
      <c r="F999" s="64"/>
      <c r="H999" s="66"/>
    </row>
    <row r="1000">
      <c r="F1000" s="64"/>
      <c r="H1000" s="6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1" t="s">
        <v>96</v>
      </c>
      <c r="I1" s="1" t="s">
        <v>97</v>
      </c>
      <c r="J1" s="1"/>
    </row>
    <row r="2">
      <c r="A2" s="39" t="s">
        <v>75</v>
      </c>
      <c r="B2" s="39" t="s">
        <v>98</v>
      </c>
      <c r="C2" s="39">
        <f t="shared" ref="C2:C6" si="1">COUNTIF(I:I,A2)</f>
        <v>3</v>
      </c>
      <c r="D2" s="62">
        <f t="shared" ref="D2:D6" si="2">C2/COUNTA(I$2:I1000)</f>
        <v>0.1578947368</v>
      </c>
      <c r="E2" s="63">
        <v>1.623503841E9</v>
      </c>
      <c r="F2" s="64">
        <f>IFERROR(__xludf.DUMMYFUNCTION("INDEX(SPLIT(E2, char(10)), 0, 1)/86400+date(1970,1,1)"),44359.553715277776)</f>
        <v>44359.55372</v>
      </c>
      <c r="G2" s="65" t="s">
        <v>184</v>
      </c>
      <c r="H2" s="66" t="s">
        <v>185</v>
      </c>
      <c r="I2" s="66" t="s">
        <v>17</v>
      </c>
      <c r="J2" s="39"/>
    </row>
    <row r="3">
      <c r="A3" s="39" t="s">
        <v>14</v>
      </c>
      <c r="B3" s="39" t="s">
        <v>101</v>
      </c>
      <c r="C3" s="39">
        <f t="shared" si="1"/>
        <v>1</v>
      </c>
      <c r="D3" s="62">
        <f t="shared" si="2"/>
        <v>0.05263157895</v>
      </c>
      <c r="E3" s="63">
        <v>1.623505669E9</v>
      </c>
      <c r="F3" s="64">
        <f>IFERROR(__xludf.DUMMYFUNCTION("INDEX(SPLIT(E3, char(10)), 0, 1)/86400+date(1970,1,1)"),44359.57487268519)</f>
        <v>44359.57487</v>
      </c>
      <c r="G3" s="65" t="s">
        <v>186</v>
      </c>
      <c r="H3" s="66" t="s">
        <v>187</v>
      </c>
      <c r="I3" s="66" t="s">
        <v>17</v>
      </c>
      <c r="J3" s="39"/>
    </row>
    <row r="4">
      <c r="A4" s="39" t="s">
        <v>15</v>
      </c>
      <c r="B4" s="39" t="s">
        <v>104</v>
      </c>
      <c r="C4" s="39">
        <f t="shared" si="1"/>
        <v>2</v>
      </c>
      <c r="D4" s="62">
        <f t="shared" si="2"/>
        <v>0.1052631579</v>
      </c>
      <c r="E4" s="63">
        <v>1.623505792E9</v>
      </c>
      <c r="F4" s="64">
        <f>IFERROR(__xludf.DUMMYFUNCTION("INDEX(SPLIT(E4, char(10)), 0, 1)/86400+date(1970,1,1)"),44359.5762962963)</f>
        <v>44359.5763</v>
      </c>
      <c r="G4" s="65" t="s">
        <v>188</v>
      </c>
      <c r="H4" s="66" t="s">
        <v>189</v>
      </c>
      <c r="I4" s="66" t="s">
        <v>75</v>
      </c>
      <c r="J4" s="39"/>
    </row>
    <row r="5">
      <c r="A5" s="39" t="s">
        <v>16</v>
      </c>
      <c r="B5" s="39" t="s">
        <v>107</v>
      </c>
      <c r="C5" s="39">
        <f t="shared" si="1"/>
        <v>7</v>
      </c>
      <c r="D5" s="62">
        <f t="shared" si="2"/>
        <v>0.3684210526</v>
      </c>
      <c r="E5" s="63">
        <v>1.623506858E9</v>
      </c>
      <c r="F5" s="64">
        <f>IFERROR(__xludf.DUMMYFUNCTION("INDEX(SPLIT(E5, char(10)), 0, 1)/86400+date(1970,1,1)"),44359.58863425926)</f>
        <v>44359.58863</v>
      </c>
      <c r="G5" s="65" t="s">
        <v>190</v>
      </c>
      <c r="H5" s="66" t="s">
        <v>191</v>
      </c>
      <c r="I5" s="66" t="s">
        <v>16</v>
      </c>
      <c r="J5" s="39"/>
    </row>
    <row r="6">
      <c r="A6" s="39" t="s">
        <v>17</v>
      </c>
      <c r="B6" s="39" t="s">
        <v>110</v>
      </c>
      <c r="C6" s="39">
        <f t="shared" si="1"/>
        <v>6</v>
      </c>
      <c r="D6" s="62">
        <f t="shared" si="2"/>
        <v>0.3157894737</v>
      </c>
      <c r="E6" s="63">
        <v>1.623506965E9</v>
      </c>
      <c r="F6" s="64">
        <f>IFERROR(__xludf.DUMMYFUNCTION("INDEX(SPLIT(E6, char(10)), 0, 1)/86400+date(1970,1,1)"),44359.58987268519)</f>
        <v>44359.58987</v>
      </c>
      <c r="G6" s="65" t="s">
        <v>192</v>
      </c>
      <c r="H6" s="66" t="s">
        <v>193</v>
      </c>
      <c r="I6" s="66" t="s">
        <v>16</v>
      </c>
    </row>
    <row r="7">
      <c r="B7" s="39" t="s">
        <v>13</v>
      </c>
      <c r="C7" s="67">
        <f t="shared" ref="C7:D7" si="3">SUM(C2:C6)</f>
        <v>19</v>
      </c>
      <c r="D7" s="68">
        <f t="shared" si="3"/>
        <v>1</v>
      </c>
      <c r="E7" s="63">
        <v>1.623507096E9</v>
      </c>
      <c r="F7" s="64">
        <f>IFERROR(__xludf.DUMMYFUNCTION("INDEX(SPLIT(E7, char(10)), 0, 1)/86400+date(1970,1,1)"),44359.59138888889)</f>
        <v>44359.59139</v>
      </c>
      <c r="G7" s="65" t="s">
        <v>194</v>
      </c>
      <c r="H7" s="66" t="s">
        <v>195</v>
      </c>
      <c r="I7" s="66" t="s">
        <v>17</v>
      </c>
    </row>
    <row r="8">
      <c r="A8" s="69"/>
      <c r="B8" s="39" t="s">
        <v>18</v>
      </c>
      <c r="C8" s="55">
        <f t="shared" ref="C8:D8" si="4">SUM(C5:C6)</f>
        <v>13</v>
      </c>
      <c r="D8" s="13">
        <f t="shared" si="4"/>
        <v>0.6842105263</v>
      </c>
      <c r="E8" s="63">
        <v>1.623507275E9</v>
      </c>
      <c r="F8" s="64">
        <f>IFERROR(__xludf.DUMMYFUNCTION("INDEX(SPLIT(E8, char(10)), 0, 1)/86400+date(1970,1,1)"),44359.593460648146)</f>
        <v>44359.59346</v>
      </c>
      <c r="G8" s="65" t="s">
        <v>196</v>
      </c>
      <c r="H8" s="66" t="s">
        <v>197</v>
      </c>
      <c r="I8" s="66" t="s">
        <v>15</v>
      </c>
    </row>
    <row r="9">
      <c r="A9" s="69"/>
      <c r="B9" s="39" t="s">
        <v>47</v>
      </c>
      <c r="C9" s="55">
        <f>SUM(C6:C7)</f>
        <v>25</v>
      </c>
      <c r="D9" s="13">
        <f>SUM(D5:D6) + D2</f>
        <v>0.8421052632</v>
      </c>
      <c r="E9" s="63">
        <v>1.623507738E9</v>
      </c>
      <c r="F9" s="64">
        <f>IFERROR(__xludf.DUMMYFUNCTION("INDEX(SPLIT(E9, char(10)), 0, 1)/86400+date(1970,1,1)"),44359.59881944444)</f>
        <v>44359.59882</v>
      </c>
      <c r="G9" s="65" t="s">
        <v>198</v>
      </c>
      <c r="H9" s="66" t="s">
        <v>199</v>
      </c>
      <c r="I9" s="66" t="s">
        <v>16</v>
      </c>
    </row>
    <row r="10">
      <c r="A10" s="69"/>
      <c r="B10" s="69"/>
      <c r="C10" s="69"/>
      <c r="D10" s="69"/>
      <c r="E10" s="63">
        <v>1.623507973E9</v>
      </c>
      <c r="F10" s="64">
        <f>IFERROR(__xludf.DUMMYFUNCTION("INDEX(SPLIT(E10, char(10)), 0, 1)/86400+date(1970,1,1)"),44359.60153935185)</f>
        <v>44359.60154</v>
      </c>
      <c r="G10" s="65" t="s">
        <v>200</v>
      </c>
      <c r="H10" s="66" t="s">
        <v>201</v>
      </c>
      <c r="I10" s="66" t="s">
        <v>16</v>
      </c>
    </row>
    <row r="11">
      <c r="A11" s="69"/>
      <c r="B11" s="69"/>
      <c r="C11" s="69"/>
      <c r="D11" s="69"/>
      <c r="E11" s="63">
        <v>1.623508442E9</v>
      </c>
      <c r="F11" s="64">
        <f>IFERROR(__xludf.DUMMYFUNCTION("INDEX(SPLIT(E11, char(10)), 0, 1)/86400+date(1970,1,1)"),44359.6069675926)</f>
        <v>44359.60697</v>
      </c>
      <c r="G11" s="65" t="s">
        <v>202</v>
      </c>
      <c r="H11" s="66" t="s">
        <v>203</v>
      </c>
      <c r="I11" s="66" t="s">
        <v>16</v>
      </c>
    </row>
    <row r="12">
      <c r="A12" s="70" t="s">
        <v>123</v>
      </c>
      <c r="B12" s="71" t="s">
        <v>204</v>
      </c>
      <c r="C12" s="72"/>
      <c r="D12" s="72"/>
      <c r="E12" s="63">
        <v>1.623508563E9</v>
      </c>
      <c r="F12" s="64">
        <f>IFERROR(__xludf.DUMMYFUNCTION("INDEX(SPLIT(E12, char(10)), 0, 1)/86400+date(1970,1,1)"),44359.60836805556)</f>
        <v>44359.60837</v>
      </c>
      <c r="G12" s="65" t="s">
        <v>205</v>
      </c>
      <c r="H12" s="66" t="s">
        <v>206</v>
      </c>
      <c r="I12" s="66" t="s">
        <v>16</v>
      </c>
    </row>
    <row r="13">
      <c r="A13" s="70" t="s">
        <v>127</v>
      </c>
      <c r="B13" s="72"/>
      <c r="C13" s="70" t="s">
        <v>91</v>
      </c>
      <c r="D13" s="70" t="s">
        <v>92</v>
      </c>
      <c r="E13" s="63">
        <v>1.623508798E9</v>
      </c>
      <c r="F13" s="64">
        <f>IFERROR(__xludf.DUMMYFUNCTION("INDEX(SPLIT(E13, char(10)), 0, 1)/86400+date(1970,1,1)"),44359.61108796296)</f>
        <v>44359.61109</v>
      </c>
      <c r="G13" s="65" t="s">
        <v>207</v>
      </c>
      <c r="H13" s="66" t="s">
        <v>208</v>
      </c>
      <c r="I13" s="66" t="s">
        <v>15</v>
      </c>
    </row>
    <row r="14">
      <c r="A14" s="5" t="s">
        <v>130</v>
      </c>
      <c r="B14" s="5" t="s">
        <v>131</v>
      </c>
      <c r="C14" s="73">
        <f t="shared" ref="C14:C17" si="5">COUNTIF($A$19:$A1000, A14)</f>
        <v>3</v>
      </c>
      <c r="D14" s="74">
        <f>IFERROR(__xludf.DUMMYFUNCTION("IF(C14, COUNTIF(FILTER($D$20:$D1000, $A$20:$A1000=A14), TRUE)/C14, 0)"),1.0)</f>
        <v>1</v>
      </c>
      <c r="E14" s="63">
        <v>1.623509028E9</v>
      </c>
      <c r="F14" s="64">
        <f>IFERROR(__xludf.DUMMYFUNCTION("INDEX(SPLIT(E14, char(10)), 0, 1)/86400+date(1970,1,1)"),44359.613750000004)</f>
        <v>44359.61375</v>
      </c>
      <c r="G14" s="65" t="s">
        <v>209</v>
      </c>
      <c r="H14" s="66" t="s">
        <v>210</v>
      </c>
      <c r="I14" s="66" t="s">
        <v>17</v>
      </c>
    </row>
    <row r="15">
      <c r="A15" s="5" t="s">
        <v>6</v>
      </c>
      <c r="B15" s="5" t="s">
        <v>134</v>
      </c>
      <c r="C15" s="73">
        <f t="shared" si="5"/>
        <v>3</v>
      </c>
      <c r="D15" s="74">
        <f>IFERROR(__xludf.DUMMYFUNCTION("IF(C15, COUNTIF(FILTER($D$20:$D1000, $A$20:$A1000=A15), TRUE)/C15, 0)"),0.6666666666666666)</f>
        <v>0.6666666667</v>
      </c>
      <c r="E15" s="63">
        <v>1.623509129E9</v>
      </c>
      <c r="F15" s="64">
        <f>IFERROR(__xludf.DUMMYFUNCTION("INDEX(SPLIT(E15, char(10)), 0, 1)/86400+date(1970,1,1)"),44359.61491898148)</f>
        <v>44359.61492</v>
      </c>
      <c r="G15" s="65" t="s">
        <v>211</v>
      </c>
      <c r="H15" s="66" t="s">
        <v>212</v>
      </c>
      <c r="I15" s="66" t="s">
        <v>16</v>
      </c>
    </row>
    <row r="16">
      <c r="A16" s="5" t="s">
        <v>7</v>
      </c>
      <c r="B16" s="5" t="s">
        <v>137</v>
      </c>
      <c r="C16" s="73">
        <f t="shared" si="5"/>
        <v>4</v>
      </c>
      <c r="D16" s="74">
        <f>IFERROR(__xludf.DUMMYFUNCTION("IF(C16, COUNTIF(FILTER($D$20:$D1000, $A$20:$A1000=A16), TRUE)/C16, 0)"),0.0)</f>
        <v>0</v>
      </c>
      <c r="E16" s="63">
        <v>1.62350925E9</v>
      </c>
      <c r="F16" s="64">
        <f>IFERROR(__xludf.DUMMYFUNCTION("INDEX(SPLIT(E16, char(10)), 0, 1)/86400+date(1970,1,1)"),44359.616319444445)</f>
        <v>44359.61632</v>
      </c>
      <c r="G16" s="65" t="s">
        <v>213</v>
      </c>
      <c r="H16" s="66" t="s">
        <v>214</v>
      </c>
      <c r="I16" s="66" t="s">
        <v>75</v>
      </c>
    </row>
    <row r="17">
      <c r="A17" s="5" t="s">
        <v>8</v>
      </c>
      <c r="B17" s="5" t="s">
        <v>79</v>
      </c>
      <c r="C17" s="73">
        <f t="shared" si="5"/>
        <v>4</v>
      </c>
      <c r="D17" s="74">
        <f>IFERROR(__xludf.DUMMYFUNCTION("IF(C17, COUNTIF(FILTER($D$20:$D1000, $A$20:$A1000=A17), TRUE)/C17, 0)"),0.5)</f>
        <v>0.5</v>
      </c>
      <c r="E17" s="63">
        <v>1.623509394E9</v>
      </c>
      <c r="F17" s="64">
        <f>IFERROR(__xludf.DUMMYFUNCTION("INDEX(SPLIT(E17, char(10)), 0, 1)/86400+date(1970,1,1)"),44359.617986111116)</f>
        <v>44359.61799</v>
      </c>
      <c r="G17" s="65" t="s">
        <v>215</v>
      </c>
      <c r="H17" s="66" t="s">
        <v>216</v>
      </c>
      <c r="I17" s="66" t="s">
        <v>17</v>
      </c>
    </row>
    <row r="18">
      <c r="A18" s="72"/>
      <c r="B18" s="70" t="s">
        <v>9</v>
      </c>
      <c r="C18" s="73">
        <f>SUM(C14:C17)</f>
        <v>14</v>
      </c>
      <c r="D18" s="74">
        <f>COUNTIF($D$19:$D1000, TRUE)/SUM($C$14:$C$17)</f>
        <v>0.5</v>
      </c>
      <c r="E18" s="63">
        <v>1.623509485E9</v>
      </c>
      <c r="F18" s="64">
        <f>IFERROR(__xludf.DUMMYFUNCTION("INDEX(SPLIT(E18, char(10)), 0, 1)/86400+date(1970,1,1)"),44359.61903935185)</f>
        <v>44359.61904</v>
      </c>
      <c r="G18" s="65" t="s">
        <v>217</v>
      </c>
      <c r="H18" s="66" t="s">
        <v>218</v>
      </c>
      <c r="I18" s="66" t="s">
        <v>17</v>
      </c>
    </row>
    <row r="19">
      <c r="A19" s="70" t="s">
        <v>97</v>
      </c>
      <c r="B19" s="70" t="s">
        <v>144</v>
      </c>
      <c r="C19" s="70" t="s">
        <v>145</v>
      </c>
      <c r="D19" s="70" t="s">
        <v>146</v>
      </c>
      <c r="E19" s="63">
        <v>1.623509578E9</v>
      </c>
      <c r="F19" s="64">
        <f>IFERROR(__xludf.DUMMYFUNCTION("INDEX(SPLIT(E19, char(10)), 0, 1)/86400+date(1970,1,1)"),44359.62011574074)</f>
        <v>44359.62012</v>
      </c>
      <c r="G19" s="65" t="s">
        <v>219</v>
      </c>
      <c r="H19" s="66" t="s">
        <v>220</v>
      </c>
      <c r="I19" s="66" t="s">
        <v>14</v>
      </c>
    </row>
    <row r="20">
      <c r="A20" s="75" t="s">
        <v>7</v>
      </c>
      <c r="B20" s="75" t="s">
        <v>149</v>
      </c>
      <c r="C20" s="76">
        <v>1.0</v>
      </c>
      <c r="D20" s="78" t="b">
        <v>0</v>
      </c>
      <c r="E20" s="63">
        <v>1.623509698E9</v>
      </c>
      <c r="F20" s="64">
        <f>IFERROR(__xludf.DUMMYFUNCTION("INDEX(SPLIT(E20, char(10)), 0, 1)/86400+date(1970,1,1)"),44359.62150462963)</f>
        <v>44359.6215</v>
      </c>
      <c r="G20" s="65" t="s">
        <v>221</v>
      </c>
      <c r="H20" s="66" t="s">
        <v>222</v>
      </c>
      <c r="I20" s="66" t="s">
        <v>75</v>
      </c>
    </row>
    <row r="21">
      <c r="A21" s="75" t="s">
        <v>6</v>
      </c>
      <c r="B21" s="75" t="s">
        <v>152</v>
      </c>
      <c r="C21" s="76">
        <v>30.0</v>
      </c>
      <c r="D21" s="78" t="b">
        <v>0</v>
      </c>
      <c r="E21" s="63"/>
      <c r="F21" s="64"/>
      <c r="G21" s="65"/>
      <c r="H21" s="66"/>
      <c r="I21" s="5"/>
    </row>
    <row r="22">
      <c r="A22" s="75" t="s">
        <v>7</v>
      </c>
      <c r="B22" s="75" t="s">
        <v>155</v>
      </c>
      <c r="C22" s="76">
        <v>45.0</v>
      </c>
      <c r="D22" s="78" t="b">
        <v>0</v>
      </c>
      <c r="E22" s="63"/>
      <c r="F22" s="64"/>
      <c r="G22" s="65"/>
      <c r="H22" s="66"/>
      <c r="I22" s="66"/>
    </row>
    <row r="23">
      <c r="A23" s="75" t="s">
        <v>7</v>
      </c>
      <c r="B23" s="75" t="s">
        <v>158</v>
      </c>
      <c r="C23" s="76">
        <v>45.0</v>
      </c>
      <c r="D23" s="78" t="b">
        <v>0</v>
      </c>
      <c r="E23" s="63"/>
      <c r="F23" s="64"/>
      <c r="G23" s="65"/>
      <c r="H23" s="66"/>
      <c r="I23" s="66"/>
    </row>
    <row r="24">
      <c r="A24" s="5" t="s">
        <v>6</v>
      </c>
      <c r="B24" s="5" t="s">
        <v>161</v>
      </c>
      <c r="C24" s="76">
        <v>47.0</v>
      </c>
      <c r="D24" s="78" t="b">
        <v>1</v>
      </c>
      <c r="E24" s="63"/>
      <c r="F24" s="64"/>
      <c r="G24" s="65"/>
      <c r="H24" s="66"/>
      <c r="I24" s="5"/>
    </row>
    <row r="25">
      <c r="A25" s="75" t="s">
        <v>130</v>
      </c>
      <c r="B25" s="72" t="s">
        <v>164</v>
      </c>
      <c r="C25" s="76">
        <v>49.0</v>
      </c>
      <c r="D25" s="78" t="b">
        <v>1</v>
      </c>
      <c r="E25" s="63"/>
      <c r="F25" s="64"/>
      <c r="G25" s="65"/>
      <c r="H25" s="66"/>
      <c r="I25" s="66"/>
    </row>
    <row r="26">
      <c r="A26" s="75" t="s">
        <v>6</v>
      </c>
      <c r="B26" s="72" t="s">
        <v>167</v>
      </c>
      <c r="C26" s="76">
        <v>63.0</v>
      </c>
      <c r="D26" s="78" t="b">
        <v>1</v>
      </c>
      <c r="E26" s="63"/>
      <c r="F26" s="64"/>
      <c r="G26" s="65"/>
      <c r="H26" s="66"/>
      <c r="I26" s="5"/>
    </row>
    <row r="27">
      <c r="A27" s="75" t="s">
        <v>8</v>
      </c>
      <c r="B27" s="72" t="s">
        <v>170</v>
      </c>
      <c r="C27" s="76">
        <v>66.0</v>
      </c>
      <c r="D27" s="78" t="b">
        <v>1</v>
      </c>
      <c r="E27" s="63"/>
      <c r="F27" s="64"/>
      <c r="G27" s="65"/>
      <c r="H27" s="66"/>
      <c r="I27" s="5"/>
    </row>
    <row r="28">
      <c r="A28" s="75" t="s">
        <v>130</v>
      </c>
      <c r="B28" s="72" t="s">
        <v>161</v>
      </c>
      <c r="C28" s="76">
        <v>74.0</v>
      </c>
      <c r="D28" s="78" t="b">
        <v>1</v>
      </c>
      <c r="E28" s="63"/>
      <c r="F28" s="64"/>
      <c r="G28" s="65"/>
      <c r="H28" s="66"/>
      <c r="I28" s="66"/>
    </row>
    <row r="29">
      <c r="A29" s="75" t="s">
        <v>8</v>
      </c>
      <c r="B29" s="72" t="s">
        <v>175</v>
      </c>
      <c r="C29" s="76">
        <v>75.0</v>
      </c>
      <c r="D29" s="78" t="b">
        <v>1</v>
      </c>
      <c r="E29" s="79"/>
      <c r="F29" s="64"/>
      <c r="G29" s="65"/>
      <c r="H29" s="66"/>
      <c r="I29" s="66"/>
    </row>
    <row r="30">
      <c r="A30" s="75" t="s">
        <v>8</v>
      </c>
      <c r="B30" s="72" t="s">
        <v>178</v>
      </c>
      <c r="C30" s="76">
        <v>84.0</v>
      </c>
      <c r="D30" s="78" t="b">
        <v>0</v>
      </c>
      <c r="E30" s="80"/>
      <c r="F30" s="64"/>
      <c r="G30" s="81"/>
      <c r="H30" s="66"/>
      <c r="I30" s="40"/>
    </row>
    <row r="31">
      <c r="A31" s="75" t="s">
        <v>130</v>
      </c>
      <c r="B31" s="72" t="s">
        <v>181</v>
      </c>
      <c r="C31" s="76">
        <v>85.0</v>
      </c>
      <c r="D31" s="78" t="b">
        <v>1</v>
      </c>
      <c r="E31" s="82"/>
      <c r="F31" s="64"/>
      <c r="G31" s="81"/>
      <c r="H31" s="66"/>
      <c r="I31" s="40"/>
    </row>
    <row r="32">
      <c r="A32" s="75" t="s">
        <v>8</v>
      </c>
      <c r="B32" s="72" t="s">
        <v>182</v>
      </c>
      <c r="C32" s="76">
        <v>93.0</v>
      </c>
      <c r="D32" s="78" t="b">
        <v>0</v>
      </c>
      <c r="E32" s="82"/>
      <c r="F32" s="64"/>
      <c r="G32" s="81"/>
      <c r="H32" s="66"/>
      <c r="I32" s="40"/>
    </row>
    <row r="33">
      <c r="A33" s="75" t="s">
        <v>7</v>
      </c>
      <c r="B33" s="72" t="s">
        <v>183</v>
      </c>
      <c r="C33" s="76">
        <v>90.0</v>
      </c>
      <c r="D33" s="78" t="b">
        <v>0</v>
      </c>
      <c r="E33" s="82"/>
      <c r="F33" s="64"/>
      <c r="G33" s="81"/>
      <c r="H33" s="66"/>
      <c r="I33" s="40"/>
    </row>
    <row r="34">
      <c r="A34" s="75"/>
      <c r="B34" s="72"/>
      <c r="C34" s="76"/>
      <c r="D34" s="77"/>
      <c r="E34" s="82"/>
      <c r="F34" s="64"/>
      <c r="G34" s="81"/>
      <c r="H34" s="66"/>
      <c r="I34" s="40"/>
    </row>
    <row r="35">
      <c r="A35" s="75"/>
      <c r="B35" s="72"/>
      <c r="C35" s="76"/>
      <c r="D35" s="77"/>
      <c r="E35" s="82"/>
      <c r="F35" s="64"/>
      <c r="G35" s="81"/>
      <c r="H35" s="66"/>
      <c r="I35" s="40"/>
    </row>
    <row r="36">
      <c r="A36" s="75"/>
      <c r="B36" s="72"/>
      <c r="C36" s="76"/>
      <c r="D36" s="77"/>
      <c r="E36" s="82"/>
      <c r="F36" s="64"/>
      <c r="G36" s="81"/>
      <c r="H36" s="66"/>
      <c r="I36" s="40"/>
    </row>
    <row r="37">
      <c r="A37" s="75"/>
      <c r="B37" s="72"/>
      <c r="C37" s="76"/>
      <c r="D37" s="77"/>
      <c r="E37" s="82"/>
      <c r="F37" s="64"/>
      <c r="G37" s="81"/>
      <c r="H37" s="66"/>
      <c r="I37" s="40"/>
    </row>
    <row r="38">
      <c r="A38" s="75"/>
      <c r="B38" s="72"/>
      <c r="C38" s="76"/>
      <c r="D38" s="77"/>
      <c r="E38" s="82"/>
      <c r="F38" s="64"/>
      <c r="G38" s="81"/>
      <c r="H38" s="66"/>
      <c r="I38" s="40"/>
    </row>
    <row r="39">
      <c r="A39" s="75"/>
      <c r="B39" s="72"/>
      <c r="C39" s="76"/>
      <c r="D39" s="77"/>
      <c r="E39" s="82"/>
      <c r="F39" s="64"/>
      <c r="G39" s="81"/>
      <c r="H39" s="66"/>
      <c r="I39" s="40"/>
    </row>
    <row r="40">
      <c r="A40" s="75"/>
      <c r="B40" s="72"/>
      <c r="C40" s="76"/>
      <c r="D40" s="77"/>
      <c r="E40" s="82"/>
      <c r="F40" s="64"/>
      <c r="G40" s="81"/>
      <c r="H40" s="66"/>
      <c r="I40" s="40"/>
    </row>
    <row r="41">
      <c r="A41" s="75"/>
      <c r="B41" s="72"/>
      <c r="C41" s="76"/>
      <c r="D41" s="77"/>
      <c r="E41" s="82"/>
      <c r="F41" s="64"/>
      <c r="G41" s="81"/>
      <c r="H41" s="66"/>
      <c r="I41" s="40"/>
    </row>
    <row r="42">
      <c r="A42" s="75"/>
      <c r="B42" s="72"/>
      <c r="C42" s="76"/>
      <c r="D42" s="78"/>
      <c r="E42" s="82"/>
      <c r="F42" s="64"/>
      <c r="G42" s="81"/>
      <c r="H42" s="66"/>
      <c r="I42" s="40"/>
    </row>
    <row r="43">
      <c r="A43" s="69"/>
      <c r="B43" s="69"/>
      <c r="C43" s="69"/>
      <c r="D43" s="69"/>
      <c r="E43" s="82"/>
      <c r="F43" s="64"/>
      <c r="G43" s="81"/>
      <c r="H43" s="66"/>
      <c r="I43" s="40"/>
    </row>
    <row r="44">
      <c r="D44" s="69"/>
      <c r="E44" s="82"/>
      <c r="F44" s="64"/>
      <c r="G44" s="81"/>
      <c r="H44" s="66"/>
      <c r="I44" s="40"/>
    </row>
    <row r="45">
      <c r="F45" s="64"/>
      <c r="G45" s="81"/>
      <c r="H45" s="66"/>
      <c r="I45" s="40"/>
    </row>
    <row r="46">
      <c r="F46" s="64"/>
      <c r="G46" s="81"/>
      <c r="H46" s="66"/>
      <c r="I46" s="40"/>
    </row>
    <row r="47">
      <c r="F47" s="64"/>
      <c r="G47" s="81"/>
      <c r="H47" s="66"/>
      <c r="I47" s="40"/>
    </row>
    <row r="48">
      <c r="F48" s="64"/>
      <c r="G48" s="81"/>
      <c r="H48" s="66"/>
      <c r="I48" s="40"/>
    </row>
    <row r="49">
      <c r="F49" s="64"/>
      <c r="G49" s="81"/>
      <c r="H49" s="66"/>
      <c r="I49" s="40"/>
    </row>
    <row r="50">
      <c r="F50" s="64"/>
      <c r="G50" s="81"/>
      <c r="H50" s="66"/>
      <c r="I50" s="40"/>
    </row>
    <row r="51">
      <c r="F51" s="64"/>
      <c r="G51" s="81"/>
      <c r="H51" s="66"/>
      <c r="I51" s="40"/>
    </row>
    <row r="52">
      <c r="F52" s="64"/>
      <c r="G52" s="83"/>
      <c r="H52" s="66"/>
    </row>
    <row r="53">
      <c r="F53" s="64"/>
      <c r="G53" s="83"/>
      <c r="H53" s="66"/>
    </row>
    <row r="54">
      <c r="F54" s="64"/>
      <c r="G54" s="83"/>
      <c r="H54" s="66"/>
    </row>
    <row r="55">
      <c r="F55" s="64"/>
      <c r="G55" s="83"/>
      <c r="H55" s="66"/>
    </row>
    <row r="56">
      <c r="F56" s="64"/>
      <c r="G56" s="83"/>
      <c r="H56" s="66"/>
    </row>
    <row r="57">
      <c r="F57" s="64"/>
      <c r="G57" s="83"/>
      <c r="H57" s="66"/>
    </row>
    <row r="58">
      <c r="F58" s="64"/>
      <c r="G58" s="83"/>
      <c r="H58" s="66"/>
    </row>
    <row r="59">
      <c r="F59" s="64"/>
      <c r="G59" s="83"/>
      <c r="H59" s="66"/>
    </row>
    <row r="60">
      <c r="F60" s="64"/>
      <c r="G60" s="83"/>
      <c r="H60" s="66"/>
    </row>
    <row r="61">
      <c r="F61" s="64"/>
      <c r="G61" s="83"/>
      <c r="H61" s="66"/>
    </row>
    <row r="62">
      <c r="F62" s="64"/>
      <c r="G62" s="83"/>
      <c r="H62" s="66"/>
    </row>
    <row r="63">
      <c r="F63" s="64"/>
      <c r="G63" s="83"/>
      <c r="H63" s="66"/>
    </row>
    <row r="64">
      <c r="F64" s="64"/>
      <c r="G64" s="83"/>
      <c r="H64" s="66"/>
    </row>
    <row r="65">
      <c r="F65" s="64"/>
      <c r="G65" s="83"/>
      <c r="H65" s="66"/>
    </row>
    <row r="66">
      <c r="F66" s="64"/>
      <c r="G66" s="83"/>
      <c r="H66" s="66"/>
    </row>
    <row r="67">
      <c r="F67" s="64"/>
      <c r="G67" s="83"/>
      <c r="H67" s="66"/>
    </row>
    <row r="68">
      <c r="F68" s="64"/>
      <c r="G68" s="83"/>
      <c r="H68" s="66"/>
    </row>
    <row r="69">
      <c r="F69" s="64"/>
      <c r="G69" s="83"/>
      <c r="H69" s="66"/>
    </row>
    <row r="70">
      <c r="F70" s="64"/>
      <c r="G70" s="83"/>
      <c r="H70" s="66"/>
    </row>
    <row r="71">
      <c r="F71" s="64"/>
      <c r="G71" s="83"/>
      <c r="H71" s="66"/>
    </row>
    <row r="72">
      <c r="F72" s="64"/>
      <c r="G72" s="83"/>
      <c r="H72" s="66"/>
    </row>
    <row r="73">
      <c r="F73" s="64"/>
      <c r="G73" s="83"/>
      <c r="H73" s="66"/>
    </row>
    <row r="74">
      <c r="F74" s="64"/>
      <c r="G74" s="83"/>
      <c r="H74" s="66"/>
    </row>
    <row r="75">
      <c r="F75" s="64"/>
      <c r="G75" s="83"/>
      <c r="H75" s="66"/>
    </row>
    <row r="76">
      <c r="F76" s="64"/>
      <c r="G76" s="83"/>
      <c r="H76" s="66"/>
    </row>
    <row r="77">
      <c r="F77" s="64"/>
      <c r="G77" s="83"/>
      <c r="H77" s="66"/>
    </row>
    <row r="78">
      <c r="F78" s="64"/>
      <c r="G78" s="83"/>
      <c r="H78" s="66"/>
    </row>
    <row r="79">
      <c r="F79" s="64"/>
      <c r="G79" s="83"/>
      <c r="H79" s="66"/>
    </row>
    <row r="80">
      <c r="F80" s="64"/>
      <c r="G80" s="83"/>
      <c r="H80" s="66"/>
    </row>
    <row r="81">
      <c r="F81" s="64"/>
      <c r="G81" s="83"/>
      <c r="H81" s="66"/>
    </row>
    <row r="82">
      <c r="F82" s="64"/>
      <c r="G82" s="83"/>
      <c r="H82" s="66"/>
    </row>
    <row r="83">
      <c r="F83" s="64"/>
      <c r="G83" s="83"/>
      <c r="H83" s="66"/>
    </row>
    <row r="84">
      <c r="F84" s="64"/>
      <c r="G84" s="83"/>
      <c r="H84" s="66"/>
    </row>
    <row r="85">
      <c r="F85" s="64"/>
      <c r="G85" s="83"/>
      <c r="H85" s="66"/>
    </row>
    <row r="86">
      <c r="F86" s="64"/>
      <c r="G86" s="83"/>
      <c r="H86" s="66"/>
    </row>
    <row r="87">
      <c r="F87" s="64"/>
      <c r="G87" s="83"/>
      <c r="H87" s="66"/>
    </row>
    <row r="88">
      <c r="F88" s="64"/>
      <c r="G88" s="83"/>
      <c r="H88" s="66"/>
    </row>
    <row r="89">
      <c r="F89" s="64"/>
      <c r="G89" s="83"/>
      <c r="H89" s="66"/>
    </row>
    <row r="90">
      <c r="F90" s="64"/>
      <c r="G90" s="83"/>
      <c r="H90" s="66"/>
    </row>
    <row r="91">
      <c r="F91" s="64"/>
      <c r="G91" s="83"/>
      <c r="H91" s="66"/>
    </row>
    <row r="92">
      <c r="F92" s="64"/>
      <c r="G92" s="83"/>
      <c r="H92" s="66"/>
    </row>
    <row r="93">
      <c r="F93" s="64"/>
      <c r="G93" s="83"/>
      <c r="H93" s="66"/>
    </row>
    <row r="94">
      <c r="F94" s="64"/>
      <c r="G94" s="83"/>
      <c r="H94" s="66"/>
    </row>
    <row r="95">
      <c r="F95" s="64"/>
      <c r="G95" s="83"/>
      <c r="H95" s="66"/>
    </row>
    <row r="96">
      <c r="F96" s="64"/>
      <c r="G96" s="83"/>
      <c r="H96" s="66"/>
    </row>
    <row r="97">
      <c r="F97" s="64"/>
      <c r="G97" s="83"/>
      <c r="H97" s="66"/>
    </row>
    <row r="98">
      <c r="F98" s="64"/>
      <c r="G98" s="83"/>
      <c r="H98" s="66"/>
    </row>
    <row r="99">
      <c r="F99" s="64"/>
      <c r="G99" s="83"/>
      <c r="H99" s="66"/>
    </row>
    <row r="100">
      <c r="F100" s="64"/>
      <c r="G100" s="83"/>
      <c r="H100" s="66"/>
    </row>
    <row r="101">
      <c r="F101" s="64"/>
      <c r="G101" s="83"/>
      <c r="H101" s="66"/>
    </row>
    <row r="102">
      <c r="F102" s="64"/>
      <c r="G102" s="83"/>
      <c r="H102" s="66"/>
    </row>
    <row r="103">
      <c r="F103" s="64"/>
      <c r="G103" s="83"/>
      <c r="H103" s="66"/>
    </row>
    <row r="104">
      <c r="F104" s="64"/>
      <c r="G104" s="83"/>
      <c r="H104" s="66"/>
    </row>
    <row r="105">
      <c r="F105" s="64"/>
      <c r="G105" s="83"/>
      <c r="H105" s="66"/>
    </row>
    <row r="106">
      <c r="F106" s="64"/>
      <c r="G106" s="83"/>
      <c r="H106" s="66"/>
    </row>
    <row r="107">
      <c r="F107" s="64"/>
      <c r="G107" s="83"/>
      <c r="H107" s="66"/>
    </row>
    <row r="108">
      <c r="F108" s="64"/>
      <c r="G108" s="83"/>
      <c r="H108" s="66"/>
    </row>
    <row r="109">
      <c r="F109" s="64"/>
      <c r="G109" s="83"/>
      <c r="H109" s="66"/>
    </row>
    <row r="110">
      <c r="F110" s="64"/>
      <c r="G110" s="83"/>
      <c r="H110" s="66"/>
    </row>
    <row r="111">
      <c r="F111" s="64"/>
      <c r="G111" s="83"/>
      <c r="H111" s="66"/>
    </row>
    <row r="112">
      <c r="F112" s="64"/>
      <c r="G112" s="83"/>
      <c r="H112" s="66"/>
    </row>
    <row r="113">
      <c r="F113" s="64"/>
      <c r="G113" s="83"/>
      <c r="H113" s="66"/>
    </row>
    <row r="114">
      <c r="F114" s="64"/>
      <c r="G114" s="83"/>
      <c r="H114" s="66"/>
    </row>
    <row r="115">
      <c r="F115" s="64"/>
      <c r="G115" s="83"/>
      <c r="H115" s="66"/>
    </row>
    <row r="116">
      <c r="F116" s="64"/>
      <c r="G116" s="83"/>
      <c r="H116" s="66"/>
    </row>
    <row r="117">
      <c r="F117" s="64"/>
      <c r="G117" s="83"/>
      <c r="H117" s="66"/>
    </row>
    <row r="118">
      <c r="F118" s="64"/>
      <c r="G118" s="83"/>
      <c r="H118" s="66"/>
    </row>
    <row r="119">
      <c r="F119" s="64"/>
      <c r="G119" s="83"/>
      <c r="H119" s="66"/>
    </row>
    <row r="120">
      <c r="F120" s="64"/>
      <c r="G120" s="83"/>
      <c r="H120" s="66"/>
    </row>
    <row r="121">
      <c r="F121" s="64"/>
      <c r="G121" s="83"/>
      <c r="H121" s="66"/>
    </row>
    <row r="122">
      <c r="F122" s="64"/>
      <c r="G122" s="83"/>
      <c r="H122" s="66"/>
    </row>
    <row r="123">
      <c r="F123" s="64"/>
      <c r="G123" s="83"/>
      <c r="H123" s="66"/>
    </row>
    <row r="124">
      <c r="F124" s="64"/>
      <c r="G124" s="83"/>
      <c r="H124" s="66"/>
    </row>
    <row r="125">
      <c r="F125" s="64"/>
      <c r="G125" s="83"/>
      <c r="H125" s="66"/>
    </row>
    <row r="126">
      <c r="F126" s="64"/>
      <c r="G126" s="83"/>
      <c r="H126" s="66"/>
    </row>
    <row r="127">
      <c r="F127" s="64"/>
      <c r="G127" s="83"/>
      <c r="H127" s="66"/>
    </row>
    <row r="128">
      <c r="F128" s="64"/>
      <c r="G128" s="83"/>
      <c r="H128" s="66"/>
    </row>
    <row r="129">
      <c r="F129" s="64"/>
      <c r="G129" s="83"/>
      <c r="H129" s="66"/>
    </row>
    <row r="130">
      <c r="F130" s="64"/>
      <c r="G130" s="83"/>
      <c r="H130" s="66"/>
    </row>
    <row r="131">
      <c r="F131" s="64"/>
      <c r="G131" s="83"/>
      <c r="H131" s="66"/>
    </row>
    <row r="132">
      <c r="F132" s="64"/>
      <c r="G132" s="83"/>
      <c r="H132" s="66"/>
    </row>
    <row r="133">
      <c r="F133" s="64"/>
      <c r="G133" s="83"/>
      <c r="H133" s="66"/>
    </row>
    <row r="134">
      <c r="F134" s="64"/>
      <c r="G134" s="83"/>
      <c r="H134" s="66"/>
    </row>
    <row r="135">
      <c r="F135" s="64"/>
      <c r="G135" s="83"/>
      <c r="H135" s="66"/>
    </row>
    <row r="136">
      <c r="F136" s="64"/>
      <c r="G136" s="83"/>
      <c r="H136" s="66"/>
    </row>
    <row r="137">
      <c r="F137" s="64"/>
      <c r="G137" s="83"/>
      <c r="H137" s="66"/>
    </row>
    <row r="138">
      <c r="F138" s="64"/>
      <c r="G138" s="83"/>
      <c r="H138" s="66"/>
    </row>
    <row r="139">
      <c r="F139" s="64"/>
      <c r="G139" s="83"/>
      <c r="H139" s="66"/>
    </row>
    <row r="140">
      <c r="F140" s="64"/>
      <c r="G140" s="83"/>
      <c r="H140" s="66"/>
    </row>
    <row r="141">
      <c r="F141" s="64"/>
      <c r="G141" s="83"/>
      <c r="H141" s="66"/>
    </row>
    <row r="142">
      <c r="F142" s="64"/>
      <c r="G142" s="83"/>
      <c r="H142" s="66"/>
    </row>
    <row r="143">
      <c r="F143" s="64"/>
      <c r="G143" s="83"/>
      <c r="H143" s="66"/>
    </row>
    <row r="144">
      <c r="F144" s="64"/>
      <c r="G144" s="83"/>
      <c r="H144" s="66"/>
    </row>
    <row r="145">
      <c r="F145" s="64"/>
      <c r="G145" s="83"/>
      <c r="H145" s="66"/>
    </row>
    <row r="146">
      <c r="F146" s="64"/>
      <c r="G146" s="83"/>
      <c r="H146" s="66"/>
    </row>
    <row r="147">
      <c r="F147" s="64"/>
      <c r="G147" s="83"/>
      <c r="H147" s="66"/>
    </row>
    <row r="148">
      <c r="F148" s="64"/>
      <c r="G148" s="83"/>
      <c r="H148" s="66"/>
    </row>
    <row r="149">
      <c r="F149" s="64"/>
      <c r="G149" s="83"/>
      <c r="H149" s="66"/>
    </row>
    <row r="150">
      <c r="F150" s="64"/>
      <c r="G150" s="83"/>
      <c r="H150" s="66"/>
    </row>
    <row r="151">
      <c r="F151" s="64"/>
      <c r="G151" s="83"/>
      <c r="H151" s="66"/>
    </row>
    <row r="152">
      <c r="F152" s="64"/>
      <c r="G152" s="83"/>
      <c r="H152" s="66"/>
    </row>
    <row r="153">
      <c r="F153" s="64"/>
      <c r="G153" s="83"/>
      <c r="H153" s="66"/>
    </row>
    <row r="154">
      <c r="F154" s="64"/>
      <c r="G154" s="83"/>
      <c r="H154" s="66"/>
    </row>
    <row r="155">
      <c r="F155" s="64"/>
      <c r="G155" s="83"/>
      <c r="H155" s="66"/>
    </row>
    <row r="156">
      <c r="F156" s="64"/>
      <c r="G156" s="83"/>
      <c r="H156" s="66"/>
    </row>
    <row r="157">
      <c r="F157" s="64"/>
      <c r="G157" s="83"/>
      <c r="H157" s="66"/>
    </row>
    <row r="158">
      <c r="F158" s="64"/>
      <c r="G158" s="83"/>
      <c r="H158" s="66"/>
    </row>
    <row r="159">
      <c r="F159" s="64"/>
      <c r="G159" s="83"/>
      <c r="H159" s="66"/>
    </row>
    <row r="160">
      <c r="F160" s="64"/>
      <c r="G160" s="83"/>
      <c r="H160" s="66"/>
    </row>
    <row r="161">
      <c r="F161" s="64"/>
      <c r="G161" s="83"/>
      <c r="H161" s="66"/>
    </row>
    <row r="162">
      <c r="F162" s="64"/>
      <c r="G162" s="83"/>
      <c r="H162" s="66"/>
    </row>
    <row r="163">
      <c r="F163" s="64"/>
      <c r="G163" s="83"/>
      <c r="H163" s="66"/>
    </row>
    <row r="164">
      <c r="F164" s="64"/>
      <c r="G164" s="83"/>
      <c r="H164" s="66"/>
    </row>
    <row r="165">
      <c r="F165" s="64"/>
      <c r="G165" s="83"/>
      <c r="H165" s="66"/>
    </row>
    <row r="166">
      <c r="F166" s="64"/>
      <c r="G166" s="83"/>
      <c r="H166" s="66"/>
    </row>
    <row r="167">
      <c r="F167" s="64"/>
      <c r="G167" s="83"/>
      <c r="H167" s="66"/>
    </row>
    <row r="168">
      <c r="F168" s="64"/>
      <c r="G168" s="83"/>
      <c r="H168" s="66"/>
    </row>
    <row r="169">
      <c r="F169" s="64"/>
      <c r="G169" s="83"/>
      <c r="H169" s="66"/>
    </row>
    <row r="170">
      <c r="F170" s="64"/>
      <c r="G170" s="83"/>
      <c r="H170" s="66"/>
    </row>
    <row r="171">
      <c r="F171" s="64"/>
      <c r="G171" s="83"/>
      <c r="H171" s="66"/>
    </row>
    <row r="172">
      <c r="F172" s="64"/>
      <c r="G172" s="83"/>
      <c r="H172" s="66"/>
    </row>
    <row r="173">
      <c r="F173" s="64"/>
      <c r="G173" s="83"/>
      <c r="H173" s="66"/>
    </row>
    <row r="174">
      <c r="F174" s="64"/>
      <c r="G174" s="83"/>
      <c r="H174" s="66"/>
    </row>
    <row r="175">
      <c r="F175" s="64"/>
      <c r="G175" s="83"/>
      <c r="H175" s="66"/>
    </row>
    <row r="176">
      <c r="F176" s="64"/>
      <c r="G176" s="83"/>
      <c r="H176" s="66"/>
    </row>
    <row r="177">
      <c r="F177" s="64"/>
      <c r="G177" s="83"/>
      <c r="H177" s="66"/>
    </row>
    <row r="178">
      <c r="F178" s="64"/>
      <c r="G178" s="83"/>
      <c r="H178" s="66"/>
    </row>
    <row r="179">
      <c r="F179" s="64"/>
      <c r="G179" s="83"/>
      <c r="H179" s="66"/>
    </row>
    <row r="180">
      <c r="F180" s="64"/>
      <c r="G180" s="83"/>
      <c r="H180" s="66"/>
    </row>
    <row r="181">
      <c r="F181" s="64"/>
      <c r="G181" s="83"/>
      <c r="H181" s="66"/>
    </row>
    <row r="182">
      <c r="F182" s="64"/>
      <c r="G182" s="83"/>
      <c r="H182" s="66"/>
    </row>
    <row r="183">
      <c r="F183" s="64"/>
      <c r="G183" s="83"/>
      <c r="H183" s="66"/>
    </row>
    <row r="184">
      <c r="F184" s="64"/>
      <c r="G184" s="83"/>
      <c r="H184" s="66"/>
    </row>
    <row r="185">
      <c r="F185" s="64"/>
      <c r="G185" s="83"/>
      <c r="H185" s="66"/>
    </row>
    <row r="186">
      <c r="F186" s="64"/>
      <c r="G186" s="83"/>
      <c r="H186" s="66"/>
    </row>
    <row r="187">
      <c r="F187" s="64"/>
      <c r="G187" s="83"/>
      <c r="H187" s="66"/>
    </row>
    <row r="188">
      <c r="F188" s="64"/>
      <c r="G188" s="83"/>
      <c r="H188" s="66"/>
    </row>
    <row r="189">
      <c r="F189" s="64"/>
      <c r="G189" s="83"/>
      <c r="H189" s="66"/>
    </row>
    <row r="190">
      <c r="F190" s="64"/>
      <c r="G190" s="83"/>
      <c r="H190" s="66"/>
    </row>
    <row r="191">
      <c r="F191" s="64"/>
      <c r="G191" s="83"/>
      <c r="H191" s="66"/>
    </row>
    <row r="192">
      <c r="F192" s="64"/>
      <c r="G192" s="83"/>
      <c r="H192" s="66"/>
    </row>
    <row r="193">
      <c r="F193" s="64"/>
      <c r="G193" s="83"/>
      <c r="H193" s="66"/>
    </row>
    <row r="194">
      <c r="F194" s="64"/>
      <c r="G194" s="83"/>
      <c r="H194" s="66"/>
    </row>
    <row r="195">
      <c r="F195" s="64"/>
      <c r="G195" s="83"/>
      <c r="H195" s="66"/>
    </row>
    <row r="196">
      <c r="F196" s="64"/>
      <c r="G196" s="83"/>
      <c r="H196" s="66"/>
    </row>
    <row r="197">
      <c r="F197" s="64"/>
      <c r="G197" s="83"/>
      <c r="H197" s="66"/>
    </row>
    <row r="198">
      <c r="F198" s="64"/>
      <c r="G198" s="83"/>
      <c r="H198" s="66"/>
    </row>
    <row r="199">
      <c r="F199" s="64"/>
      <c r="G199" s="83"/>
      <c r="H199" s="66"/>
    </row>
    <row r="200">
      <c r="F200" s="64"/>
      <c r="G200" s="83"/>
      <c r="H200" s="66"/>
    </row>
    <row r="201">
      <c r="F201" s="64"/>
      <c r="G201" s="83"/>
      <c r="H201" s="66"/>
    </row>
    <row r="202">
      <c r="F202" s="64"/>
      <c r="G202" s="83"/>
      <c r="H202" s="66"/>
    </row>
    <row r="203">
      <c r="F203" s="64"/>
      <c r="G203" s="83"/>
      <c r="H203" s="66"/>
    </row>
    <row r="204">
      <c r="F204" s="64"/>
      <c r="G204" s="83"/>
      <c r="H204" s="66"/>
    </row>
    <row r="205">
      <c r="F205" s="64"/>
      <c r="G205" s="83"/>
      <c r="H205" s="66"/>
    </row>
    <row r="206">
      <c r="F206" s="64"/>
      <c r="G206" s="83"/>
      <c r="H206" s="66"/>
    </row>
    <row r="207">
      <c r="F207" s="64"/>
      <c r="G207" s="83"/>
      <c r="H207" s="66"/>
    </row>
    <row r="208">
      <c r="F208" s="64"/>
      <c r="G208" s="83"/>
      <c r="H208" s="66"/>
    </row>
    <row r="209">
      <c r="F209" s="64"/>
      <c r="G209" s="83"/>
      <c r="H209" s="66"/>
    </row>
    <row r="210">
      <c r="F210" s="64"/>
      <c r="G210" s="83"/>
      <c r="H210" s="66"/>
    </row>
    <row r="211">
      <c r="F211" s="64"/>
      <c r="G211" s="83"/>
      <c r="H211" s="66"/>
    </row>
    <row r="212">
      <c r="F212" s="64"/>
      <c r="G212" s="83"/>
      <c r="H212" s="66"/>
    </row>
    <row r="213">
      <c r="F213" s="64"/>
      <c r="G213" s="83"/>
      <c r="H213" s="66"/>
    </row>
    <row r="214">
      <c r="F214" s="64"/>
      <c r="G214" s="83"/>
      <c r="H214" s="66"/>
    </row>
    <row r="215">
      <c r="F215" s="64"/>
      <c r="G215" s="83"/>
      <c r="H215" s="66"/>
    </row>
    <row r="216">
      <c r="F216" s="64"/>
      <c r="G216" s="83"/>
      <c r="H216" s="66"/>
    </row>
    <row r="217">
      <c r="F217" s="64"/>
      <c r="G217" s="83"/>
      <c r="H217" s="66"/>
    </row>
    <row r="218">
      <c r="F218" s="64"/>
      <c r="G218" s="83"/>
      <c r="H218" s="66"/>
    </row>
    <row r="219">
      <c r="F219" s="64"/>
      <c r="G219" s="83"/>
      <c r="H219" s="66"/>
    </row>
    <row r="220">
      <c r="F220" s="64"/>
      <c r="G220" s="83"/>
      <c r="H220" s="66"/>
    </row>
    <row r="221">
      <c r="F221" s="64"/>
      <c r="G221" s="83"/>
      <c r="H221" s="66"/>
    </row>
    <row r="222">
      <c r="F222" s="64"/>
      <c r="G222" s="83"/>
      <c r="H222" s="66"/>
    </row>
    <row r="223">
      <c r="F223" s="64"/>
      <c r="G223" s="83"/>
      <c r="H223" s="66"/>
    </row>
    <row r="224">
      <c r="F224" s="64"/>
      <c r="G224" s="83"/>
      <c r="H224" s="66"/>
    </row>
    <row r="225">
      <c r="F225" s="64"/>
      <c r="G225" s="83"/>
      <c r="H225" s="66"/>
    </row>
    <row r="226">
      <c r="F226" s="64"/>
      <c r="G226" s="83"/>
      <c r="H226" s="66"/>
    </row>
    <row r="227">
      <c r="F227" s="64"/>
      <c r="G227" s="83"/>
      <c r="H227" s="66"/>
    </row>
    <row r="228">
      <c r="F228" s="64"/>
      <c r="G228" s="83"/>
      <c r="H228" s="66"/>
    </row>
    <row r="229">
      <c r="F229" s="64"/>
      <c r="G229" s="83"/>
      <c r="H229" s="66"/>
    </row>
    <row r="230">
      <c r="F230" s="64"/>
      <c r="G230" s="83"/>
      <c r="H230" s="66"/>
    </row>
    <row r="231">
      <c r="F231" s="64"/>
      <c r="G231" s="83"/>
      <c r="H231" s="66"/>
    </row>
    <row r="232">
      <c r="F232" s="64"/>
      <c r="G232" s="83"/>
      <c r="H232" s="66"/>
    </row>
    <row r="233">
      <c r="F233" s="64"/>
      <c r="G233" s="83"/>
      <c r="H233" s="66"/>
    </row>
    <row r="234">
      <c r="F234" s="64"/>
      <c r="G234" s="83"/>
      <c r="H234" s="66"/>
    </row>
    <row r="235">
      <c r="F235" s="64"/>
      <c r="G235" s="83"/>
      <c r="H235" s="66"/>
    </row>
    <row r="236">
      <c r="F236" s="64"/>
      <c r="G236" s="83"/>
      <c r="H236" s="66"/>
    </row>
    <row r="237">
      <c r="F237" s="64"/>
      <c r="G237" s="83"/>
      <c r="H237" s="66"/>
    </row>
    <row r="238">
      <c r="F238" s="64"/>
      <c r="G238" s="83"/>
      <c r="H238" s="66"/>
    </row>
    <row r="239">
      <c r="F239" s="64"/>
      <c r="G239" s="83"/>
      <c r="H239" s="66"/>
    </row>
    <row r="240">
      <c r="F240" s="64"/>
      <c r="G240" s="83"/>
      <c r="H240" s="66"/>
    </row>
    <row r="241">
      <c r="F241" s="64"/>
      <c r="G241" s="83"/>
      <c r="H241" s="66"/>
    </row>
    <row r="242">
      <c r="F242" s="64"/>
      <c r="G242" s="83"/>
      <c r="H242" s="66"/>
    </row>
    <row r="243">
      <c r="F243" s="64"/>
      <c r="G243" s="83"/>
      <c r="H243" s="66"/>
    </row>
    <row r="244">
      <c r="F244" s="64"/>
      <c r="G244" s="83"/>
      <c r="H244" s="66"/>
    </row>
    <row r="245">
      <c r="F245" s="64"/>
      <c r="G245" s="83"/>
      <c r="H245" s="66"/>
    </row>
    <row r="246">
      <c r="F246" s="64"/>
      <c r="G246" s="83"/>
      <c r="H246" s="66"/>
    </row>
    <row r="247">
      <c r="F247" s="64"/>
      <c r="G247" s="83"/>
      <c r="H247" s="66"/>
    </row>
    <row r="248">
      <c r="F248" s="64"/>
      <c r="G248" s="83"/>
      <c r="H248" s="66"/>
    </row>
    <row r="249">
      <c r="F249" s="64"/>
      <c r="G249" s="83"/>
      <c r="H249" s="66"/>
    </row>
    <row r="250">
      <c r="F250" s="64"/>
      <c r="G250" s="83"/>
      <c r="H250" s="66"/>
    </row>
    <row r="251">
      <c r="F251" s="64"/>
      <c r="G251" s="83"/>
      <c r="H251" s="66"/>
    </row>
    <row r="252">
      <c r="F252" s="64"/>
      <c r="G252" s="83"/>
      <c r="H252" s="66"/>
    </row>
    <row r="253">
      <c r="F253" s="64"/>
      <c r="G253" s="83"/>
      <c r="H253" s="66"/>
    </row>
    <row r="254">
      <c r="F254" s="64"/>
      <c r="G254" s="83"/>
      <c r="H254" s="66"/>
    </row>
    <row r="255">
      <c r="F255" s="64"/>
      <c r="G255" s="83"/>
      <c r="H255" s="66"/>
    </row>
    <row r="256">
      <c r="F256" s="64"/>
      <c r="G256" s="83"/>
      <c r="H256" s="66"/>
    </row>
    <row r="257">
      <c r="F257" s="64"/>
      <c r="G257" s="83"/>
      <c r="H257" s="66"/>
    </row>
    <row r="258">
      <c r="F258" s="64"/>
      <c r="G258" s="83"/>
      <c r="H258" s="66"/>
    </row>
    <row r="259">
      <c r="F259" s="64"/>
      <c r="G259" s="83"/>
      <c r="H259" s="66"/>
    </row>
    <row r="260">
      <c r="F260" s="64"/>
      <c r="G260" s="83"/>
      <c r="H260" s="66"/>
    </row>
    <row r="261">
      <c r="F261" s="64"/>
      <c r="G261" s="83"/>
      <c r="H261" s="66"/>
    </row>
    <row r="262">
      <c r="F262" s="64"/>
      <c r="G262" s="83"/>
      <c r="H262" s="66"/>
    </row>
    <row r="263">
      <c r="F263" s="64"/>
      <c r="G263" s="83"/>
      <c r="H263" s="66"/>
    </row>
    <row r="264">
      <c r="F264" s="64"/>
      <c r="G264" s="83"/>
      <c r="H264" s="66"/>
    </row>
    <row r="265">
      <c r="F265" s="64"/>
      <c r="G265" s="83"/>
      <c r="H265" s="66"/>
    </row>
    <row r="266">
      <c r="F266" s="64"/>
      <c r="G266" s="83"/>
      <c r="H266" s="66"/>
    </row>
    <row r="267">
      <c r="F267" s="64"/>
      <c r="G267" s="83"/>
      <c r="H267" s="66"/>
    </row>
    <row r="268">
      <c r="F268" s="64"/>
      <c r="G268" s="83"/>
      <c r="H268" s="66"/>
    </row>
    <row r="269">
      <c r="F269" s="64"/>
      <c r="G269" s="83"/>
      <c r="H269" s="66"/>
    </row>
    <row r="270">
      <c r="F270" s="64"/>
      <c r="G270" s="83"/>
      <c r="H270" s="66"/>
    </row>
    <row r="271">
      <c r="F271" s="64"/>
      <c r="G271" s="83"/>
      <c r="H271" s="66"/>
    </row>
    <row r="272">
      <c r="F272" s="64"/>
      <c r="G272" s="83"/>
      <c r="H272" s="66"/>
    </row>
    <row r="273">
      <c r="F273" s="64"/>
      <c r="G273" s="83"/>
      <c r="H273" s="66"/>
    </row>
    <row r="274">
      <c r="F274" s="64"/>
      <c r="G274" s="83"/>
      <c r="H274" s="66"/>
    </row>
    <row r="275">
      <c r="F275" s="64"/>
      <c r="G275" s="83"/>
      <c r="H275" s="66"/>
    </row>
    <row r="276">
      <c r="F276" s="64"/>
      <c r="G276" s="83"/>
      <c r="H276" s="66"/>
    </row>
    <row r="277">
      <c r="F277" s="64"/>
      <c r="G277" s="83"/>
      <c r="H277" s="66"/>
    </row>
    <row r="278">
      <c r="F278" s="64"/>
      <c r="G278" s="83"/>
      <c r="H278" s="66"/>
    </row>
    <row r="279">
      <c r="F279" s="64"/>
      <c r="G279" s="83"/>
      <c r="H279" s="66"/>
    </row>
    <row r="280">
      <c r="F280" s="64"/>
      <c r="G280" s="83"/>
      <c r="H280" s="66"/>
    </row>
    <row r="281">
      <c r="F281" s="64"/>
      <c r="G281" s="83"/>
      <c r="H281" s="66"/>
    </row>
    <row r="282">
      <c r="F282" s="64"/>
      <c r="G282" s="83"/>
      <c r="H282" s="66"/>
    </row>
    <row r="283">
      <c r="F283" s="64"/>
      <c r="G283" s="83"/>
      <c r="H283" s="66"/>
    </row>
    <row r="284">
      <c r="F284" s="64"/>
      <c r="G284" s="83"/>
      <c r="H284" s="66"/>
    </row>
    <row r="285">
      <c r="F285" s="64"/>
      <c r="G285" s="83"/>
      <c r="H285" s="66"/>
    </row>
    <row r="286">
      <c r="F286" s="64"/>
      <c r="G286" s="83"/>
      <c r="H286" s="66"/>
    </row>
    <row r="287">
      <c r="F287" s="64"/>
      <c r="G287" s="83"/>
      <c r="H287" s="66"/>
    </row>
    <row r="288">
      <c r="F288" s="64"/>
      <c r="G288" s="83"/>
      <c r="H288" s="66"/>
    </row>
    <row r="289">
      <c r="F289" s="64"/>
      <c r="G289" s="83"/>
      <c r="H289" s="66"/>
    </row>
    <row r="290">
      <c r="F290" s="64"/>
      <c r="G290" s="83"/>
      <c r="H290" s="66"/>
    </row>
    <row r="291">
      <c r="F291" s="64"/>
      <c r="G291" s="83"/>
      <c r="H291" s="66"/>
    </row>
    <row r="292">
      <c r="F292" s="64"/>
      <c r="G292" s="83"/>
      <c r="H292" s="66"/>
    </row>
    <row r="293">
      <c r="F293" s="64"/>
      <c r="G293" s="83"/>
      <c r="H293" s="66"/>
    </row>
    <row r="294">
      <c r="F294" s="64"/>
      <c r="G294" s="83"/>
      <c r="H294" s="66"/>
    </row>
    <row r="295">
      <c r="F295" s="64"/>
      <c r="G295" s="83"/>
      <c r="H295" s="66"/>
    </row>
    <row r="296">
      <c r="F296" s="64"/>
      <c r="G296" s="83"/>
      <c r="H296" s="66"/>
    </row>
    <row r="297">
      <c r="F297" s="64"/>
      <c r="G297" s="83"/>
      <c r="H297" s="66"/>
    </row>
    <row r="298">
      <c r="F298" s="64"/>
      <c r="G298" s="83"/>
      <c r="H298" s="66"/>
    </row>
    <row r="299">
      <c r="F299" s="64"/>
      <c r="G299" s="83"/>
      <c r="H299" s="66"/>
    </row>
    <row r="300">
      <c r="F300" s="64"/>
      <c r="G300" s="83"/>
      <c r="H300" s="66"/>
    </row>
    <row r="301">
      <c r="F301" s="64"/>
      <c r="G301" s="83"/>
      <c r="H301" s="66"/>
    </row>
    <row r="302">
      <c r="F302" s="64"/>
      <c r="G302" s="83"/>
      <c r="H302" s="66"/>
    </row>
    <row r="303">
      <c r="F303" s="64"/>
      <c r="G303" s="83"/>
      <c r="H303" s="66"/>
    </row>
    <row r="304">
      <c r="F304" s="64"/>
      <c r="G304" s="83"/>
      <c r="H304" s="66"/>
    </row>
    <row r="305">
      <c r="F305" s="64"/>
      <c r="G305" s="83"/>
      <c r="H305" s="66"/>
    </row>
    <row r="306">
      <c r="F306" s="64"/>
      <c r="G306" s="83"/>
      <c r="H306" s="66"/>
    </row>
    <row r="307">
      <c r="F307" s="64"/>
      <c r="G307" s="83"/>
      <c r="H307" s="66"/>
    </row>
    <row r="308">
      <c r="F308" s="64"/>
      <c r="G308" s="83"/>
      <c r="H308" s="66"/>
    </row>
    <row r="309">
      <c r="F309" s="64"/>
      <c r="G309" s="83"/>
      <c r="H309" s="66"/>
    </row>
    <row r="310">
      <c r="F310" s="64"/>
      <c r="G310" s="83"/>
      <c r="H310" s="66"/>
    </row>
    <row r="311">
      <c r="F311" s="64"/>
      <c r="G311" s="83"/>
      <c r="H311" s="66"/>
    </row>
    <row r="312">
      <c r="F312" s="64"/>
      <c r="G312" s="83"/>
      <c r="H312" s="66"/>
    </row>
    <row r="313">
      <c r="F313" s="64"/>
      <c r="G313" s="83"/>
      <c r="H313" s="66"/>
    </row>
    <row r="314">
      <c r="F314" s="64"/>
      <c r="G314" s="83"/>
      <c r="H314" s="66"/>
    </row>
    <row r="315">
      <c r="F315" s="64"/>
      <c r="G315" s="83"/>
      <c r="H315" s="66"/>
    </row>
    <row r="316">
      <c r="F316" s="64"/>
      <c r="G316" s="83"/>
      <c r="H316" s="66"/>
    </row>
    <row r="317">
      <c r="F317" s="64"/>
      <c r="G317" s="83"/>
      <c r="H317" s="66"/>
    </row>
    <row r="318">
      <c r="F318" s="64"/>
      <c r="G318" s="83"/>
      <c r="H318" s="66"/>
    </row>
    <row r="319">
      <c r="F319" s="64"/>
      <c r="G319" s="83"/>
      <c r="H319" s="66"/>
    </row>
    <row r="320">
      <c r="F320" s="64"/>
      <c r="G320" s="83"/>
      <c r="H320" s="66"/>
    </row>
    <row r="321">
      <c r="F321" s="64"/>
      <c r="G321" s="83"/>
      <c r="H321" s="66"/>
    </row>
    <row r="322">
      <c r="F322" s="64"/>
      <c r="G322" s="83"/>
      <c r="H322" s="66"/>
    </row>
    <row r="323">
      <c r="F323" s="64"/>
      <c r="G323" s="83"/>
      <c r="H323" s="66"/>
    </row>
    <row r="324">
      <c r="F324" s="64"/>
      <c r="G324" s="83"/>
      <c r="H324" s="66"/>
    </row>
    <row r="325">
      <c r="F325" s="64"/>
      <c r="G325" s="83"/>
      <c r="H325" s="66"/>
    </row>
    <row r="326">
      <c r="F326" s="64"/>
      <c r="G326" s="83"/>
      <c r="H326" s="66"/>
    </row>
    <row r="327">
      <c r="F327" s="64"/>
      <c r="G327" s="83"/>
      <c r="H327" s="66"/>
    </row>
    <row r="328">
      <c r="F328" s="64"/>
      <c r="G328" s="83"/>
      <c r="H328" s="66"/>
    </row>
    <row r="329">
      <c r="F329" s="64"/>
      <c r="G329" s="83"/>
      <c r="H329" s="66"/>
    </row>
    <row r="330">
      <c r="F330" s="64"/>
      <c r="G330" s="83"/>
      <c r="H330" s="66"/>
    </row>
    <row r="331">
      <c r="F331" s="64"/>
      <c r="G331" s="83"/>
      <c r="H331" s="66"/>
    </row>
    <row r="332">
      <c r="F332" s="64"/>
      <c r="G332" s="83"/>
      <c r="H332" s="66"/>
    </row>
    <row r="333">
      <c r="F333" s="64"/>
      <c r="G333" s="83"/>
      <c r="H333" s="66"/>
    </row>
    <row r="334">
      <c r="F334" s="64"/>
      <c r="G334" s="83"/>
      <c r="H334" s="66"/>
    </row>
    <row r="335">
      <c r="F335" s="64"/>
      <c r="G335" s="83"/>
      <c r="H335" s="66"/>
    </row>
    <row r="336">
      <c r="F336" s="64"/>
      <c r="G336" s="83"/>
      <c r="H336" s="66"/>
    </row>
    <row r="337">
      <c r="F337" s="64"/>
      <c r="G337" s="83"/>
      <c r="H337" s="66"/>
    </row>
    <row r="338">
      <c r="F338" s="64"/>
      <c r="G338" s="83"/>
      <c r="H338" s="66"/>
    </row>
    <row r="339">
      <c r="F339" s="64"/>
      <c r="G339" s="83"/>
      <c r="H339" s="66"/>
    </row>
    <row r="340">
      <c r="F340" s="64"/>
      <c r="G340" s="83"/>
      <c r="H340" s="66"/>
    </row>
    <row r="341">
      <c r="F341" s="64"/>
      <c r="G341" s="83"/>
      <c r="H341" s="66"/>
    </row>
    <row r="342">
      <c r="F342" s="64"/>
      <c r="G342" s="83"/>
      <c r="H342" s="66"/>
    </row>
    <row r="343">
      <c r="F343" s="64"/>
      <c r="G343" s="83"/>
      <c r="H343" s="66"/>
    </row>
    <row r="344">
      <c r="F344" s="64"/>
      <c r="G344" s="83"/>
      <c r="H344" s="66"/>
    </row>
    <row r="345">
      <c r="F345" s="64"/>
      <c r="G345" s="83"/>
      <c r="H345" s="66"/>
    </row>
    <row r="346">
      <c r="F346" s="64"/>
      <c r="G346" s="83"/>
      <c r="H346" s="66"/>
    </row>
    <row r="347">
      <c r="F347" s="64"/>
      <c r="G347" s="83"/>
      <c r="H347" s="66"/>
    </row>
    <row r="348">
      <c r="F348" s="64"/>
      <c r="G348" s="83"/>
      <c r="H348" s="66"/>
    </row>
    <row r="349">
      <c r="F349" s="64"/>
      <c r="G349" s="83"/>
      <c r="H349" s="66"/>
    </row>
    <row r="350">
      <c r="F350" s="64"/>
      <c r="G350" s="83"/>
      <c r="H350" s="66"/>
    </row>
    <row r="351">
      <c r="F351" s="64"/>
      <c r="G351" s="83"/>
      <c r="H351" s="66"/>
    </row>
    <row r="352">
      <c r="F352" s="64"/>
      <c r="G352" s="83"/>
      <c r="H352" s="66"/>
    </row>
    <row r="353">
      <c r="F353" s="64"/>
      <c r="G353" s="83"/>
      <c r="H353" s="66"/>
    </row>
    <row r="354">
      <c r="F354" s="64"/>
      <c r="G354" s="83"/>
      <c r="H354" s="66"/>
    </row>
    <row r="355">
      <c r="F355" s="64"/>
      <c r="G355" s="83"/>
      <c r="H355" s="66"/>
    </row>
    <row r="356">
      <c r="F356" s="64"/>
      <c r="G356" s="83"/>
      <c r="H356" s="66"/>
    </row>
    <row r="357">
      <c r="F357" s="64"/>
      <c r="G357" s="83"/>
      <c r="H357" s="66"/>
    </row>
    <row r="358">
      <c r="F358" s="64"/>
      <c r="G358" s="83"/>
      <c r="H358" s="66"/>
    </row>
    <row r="359">
      <c r="F359" s="64"/>
      <c r="G359" s="83"/>
      <c r="H359" s="66"/>
    </row>
    <row r="360">
      <c r="F360" s="64"/>
      <c r="G360" s="83"/>
      <c r="H360" s="66"/>
    </row>
    <row r="361">
      <c r="F361" s="64"/>
      <c r="G361" s="83"/>
      <c r="H361" s="66"/>
    </row>
    <row r="362">
      <c r="F362" s="64"/>
      <c r="G362" s="83"/>
      <c r="H362" s="66"/>
    </row>
    <row r="363">
      <c r="F363" s="64"/>
      <c r="G363" s="83"/>
      <c r="H363" s="66"/>
    </row>
    <row r="364">
      <c r="F364" s="64"/>
      <c r="G364" s="83"/>
      <c r="H364" s="66"/>
    </row>
    <row r="365">
      <c r="F365" s="64"/>
      <c r="G365" s="83"/>
      <c r="H365" s="66"/>
    </row>
    <row r="366">
      <c r="F366" s="64"/>
      <c r="G366" s="83"/>
      <c r="H366" s="66"/>
    </row>
    <row r="367">
      <c r="F367" s="64"/>
      <c r="G367" s="83"/>
      <c r="H367" s="66"/>
    </row>
    <row r="368">
      <c r="F368" s="64"/>
      <c r="G368" s="83"/>
      <c r="H368" s="66"/>
    </row>
    <row r="369">
      <c r="F369" s="64"/>
      <c r="G369" s="83"/>
      <c r="H369" s="66"/>
    </row>
    <row r="370">
      <c r="F370" s="64"/>
      <c r="G370" s="83"/>
      <c r="H370" s="66"/>
    </row>
    <row r="371">
      <c r="F371" s="64"/>
      <c r="G371" s="83"/>
      <c r="H371" s="66"/>
    </row>
    <row r="372">
      <c r="F372" s="64"/>
      <c r="G372" s="83"/>
      <c r="H372" s="66"/>
    </row>
    <row r="373">
      <c r="F373" s="64"/>
      <c r="G373" s="83"/>
      <c r="H373" s="66"/>
    </row>
    <row r="374">
      <c r="F374" s="64"/>
      <c r="G374" s="83"/>
      <c r="H374" s="66"/>
    </row>
    <row r="375">
      <c r="F375" s="64"/>
      <c r="G375" s="83"/>
      <c r="H375" s="66"/>
    </row>
    <row r="376">
      <c r="F376" s="64"/>
      <c r="G376" s="83"/>
      <c r="H376" s="66"/>
    </row>
    <row r="377">
      <c r="F377" s="64"/>
      <c r="G377" s="83"/>
      <c r="H377" s="66"/>
    </row>
    <row r="378">
      <c r="F378" s="64"/>
      <c r="G378" s="83"/>
      <c r="H378" s="66"/>
    </row>
    <row r="379">
      <c r="F379" s="64"/>
      <c r="G379" s="83"/>
      <c r="H379" s="66"/>
    </row>
    <row r="380">
      <c r="F380" s="64"/>
      <c r="G380" s="83"/>
      <c r="H380" s="66"/>
    </row>
    <row r="381">
      <c r="F381" s="64"/>
      <c r="G381" s="83"/>
      <c r="H381" s="66"/>
    </row>
    <row r="382">
      <c r="F382" s="64"/>
      <c r="G382" s="83"/>
      <c r="H382" s="66"/>
    </row>
    <row r="383">
      <c r="F383" s="64"/>
      <c r="G383" s="83"/>
      <c r="H383" s="66"/>
    </row>
    <row r="384">
      <c r="F384" s="64"/>
      <c r="G384" s="83"/>
      <c r="H384" s="66"/>
    </row>
    <row r="385">
      <c r="F385" s="64"/>
      <c r="G385" s="83"/>
      <c r="H385" s="66"/>
    </row>
    <row r="386">
      <c r="F386" s="64"/>
      <c r="G386" s="83"/>
      <c r="H386" s="66"/>
    </row>
    <row r="387">
      <c r="F387" s="64"/>
      <c r="G387" s="83"/>
      <c r="H387" s="66"/>
    </row>
    <row r="388">
      <c r="F388" s="64"/>
      <c r="G388" s="83"/>
      <c r="H388" s="66"/>
    </row>
    <row r="389">
      <c r="F389" s="64"/>
      <c r="G389" s="83"/>
      <c r="H389" s="66"/>
    </row>
    <row r="390">
      <c r="F390" s="64"/>
      <c r="G390" s="83"/>
      <c r="H390" s="66"/>
    </row>
    <row r="391">
      <c r="F391" s="64"/>
      <c r="G391" s="83"/>
      <c r="H391" s="66"/>
    </row>
    <row r="392">
      <c r="F392" s="64"/>
      <c r="G392" s="83"/>
      <c r="H392" s="66"/>
    </row>
    <row r="393">
      <c r="F393" s="64"/>
      <c r="G393" s="83"/>
      <c r="H393" s="66"/>
    </row>
    <row r="394">
      <c r="F394" s="64"/>
      <c r="G394" s="83"/>
      <c r="H394" s="66"/>
    </row>
    <row r="395">
      <c r="F395" s="64"/>
      <c r="G395" s="83"/>
      <c r="H395" s="66"/>
    </row>
    <row r="396">
      <c r="F396" s="64"/>
      <c r="G396" s="83"/>
      <c r="H396" s="66"/>
    </row>
    <row r="397">
      <c r="F397" s="64"/>
      <c r="G397" s="83"/>
      <c r="H397" s="66"/>
    </row>
    <row r="398">
      <c r="F398" s="64"/>
      <c r="G398" s="83"/>
      <c r="H398" s="66"/>
    </row>
    <row r="399">
      <c r="F399" s="64"/>
      <c r="G399" s="83"/>
      <c r="H399" s="66"/>
    </row>
    <row r="400">
      <c r="F400" s="64"/>
      <c r="G400" s="83"/>
      <c r="H400" s="66"/>
    </row>
    <row r="401">
      <c r="F401" s="64"/>
      <c r="G401" s="83"/>
      <c r="H401" s="66"/>
    </row>
    <row r="402">
      <c r="F402" s="64"/>
      <c r="G402" s="83"/>
      <c r="H402" s="66"/>
    </row>
    <row r="403">
      <c r="F403" s="64"/>
      <c r="G403" s="83"/>
      <c r="H403" s="66"/>
    </row>
    <row r="404">
      <c r="F404" s="64"/>
      <c r="G404" s="83"/>
      <c r="H404" s="66"/>
    </row>
    <row r="405">
      <c r="F405" s="64"/>
      <c r="G405" s="83"/>
      <c r="H405" s="66"/>
    </row>
    <row r="406">
      <c r="F406" s="64"/>
      <c r="G406" s="83"/>
      <c r="H406" s="66"/>
    </row>
    <row r="407">
      <c r="F407" s="64"/>
      <c r="G407" s="83"/>
      <c r="H407" s="66"/>
    </row>
    <row r="408">
      <c r="F408" s="64"/>
      <c r="G408" s="83"/>
      <c r="H408" s="66"/>
    </row>
    <row r="409">
      <c r="F409" s="64"/>
      <c r="G409" s="83"/>
      <c r="H409" s="66"/>
    </row>
    <row r="410">
      <c r="F410" s="64"/>
      <c r="G410" s="83"/>
      <c r="H410" s="66"/>
    </row>
    <row r="411">
      <c r="F411" s="64"/>
      <c r="G411" s="83"/>
      <c r="H411" s="66"/>
    </row>
    <row r="412">
      <c r="F412" s="64"/>
      <c r="G412" s="83"/>
      <c r="H412" s="66"/>
    </row>
    <row r="413">
      <c r="F413" s="64"/>
      <c r="G413" s="83"/>
      <c r="H413" s="66"/>
    </row>
    <row r="414">
      <c r="F414" s="64"/>
      <c r="G414" s="83"/>
      <c r="H414" s="66"/>
    </row>
    <row r="415">
      <c r="F415" s="64"/>
      <c r="G415" s="83"/>
      <c r="H415" s="66"/>
    </row>
    <row r="416">
      <c r="F416" s="64"/>
      <c r="G416" s="83"/>
      <c r="H416" s="66"/>
    </row>
    <row r="417">
      <c r="F417" s="64"/>
      <c r="G417" s="83"/>
      <c r="H417" s="66"/>
    </row>
    <row r="418">
      <c r="F418" s="64"/>
      <c r="G418" s="83"/>
      <c r="H418" s="66"/>
    </row>
    <row r="419">
      <c r="F419" s="64"/>
      <c r="G419" s="83"/>
      <c r="H419" s="66"/>
    </row>
    <row r="420">
      <c r="F420" s="64"/>
      <c r="G420" s="83"/>
      <c r="H420" s="66"/>
    </row>
    <row r="421">
      <c r="F421" s="64"/>
      <c r="G421" s="83"/>
      <c r="H421" s="66"/>
    </row>
    <row r="422">
      <c r="F422" s="64"/>
      <c r="G422" s="83"/>
      <c r="H422" s="66"/>
    </row>
    <row r="423">
      <c r="F423" s="64"/>
      <c r="G423" s="83"/>
      <c r="H423" s="66"/>
    </row>
    <row r="424">
      <c r="F424" s="64"/>
      <c r="G424" s="83"/>
      <c r="H424" s="66"/>
    </row>
    <row r="425">
      <c r="F425" s="64"/>
      <c r="G425" s="83"/>
      <c r="H425" s="66"/>
    </row>
    <row r="426">
      <c r="F426" s="64"/>
      <c r="G426" s="83"/>
      <c r="H426" s="66"/>
    </row>
    <row r="427">
      <c r="F427" s="64"/>
      <c r="G427" s="83"/>
      <c r="H427" s="66"/>
    </row>
    <row r="428">
      <c r="F428" s="64"/>
      <c r="G428" s="83"/>
      <c r="H428" s="66"/>
    </row>
    <row r="429">
      <c r="F429" s="64"/>
      <c r="G429" s="83"/>
      <c r="H429" s="66"/>
    </row>
    <row r="430">
      <c r="F430" s="64"/>
      <c r="G430" s="83"/>
      <c r="H430" s="66"/>
    </row>
    <row r="431">
      <c r="F431" s="64"/>
      <c r="G431" s="83"/>
      <c r="H431" s="66"/>
    </row>
    <row r="432">
      <c r="F432" s="64"/>
      <c r="G432" s="83"/>
      <c r="H432" s="66"/>
    </row>
    <row r="433">
      <c r="F433" s="64"/>
      <c r="G433" s="83"/>
      <c r="H433" s="66"/>
    </row>
    <row r="434">
      <c r="F434" s="64"/>
      <c r="G434" s="83"/>
      <c r="H434" s="66"/>
    </row>
    <row r="435">
      <c r="F435" s="64"/>
      <c r="G435" s="83"/>
      <c r="H435" s="66"/>
    </row>
    <row r="436">
      <c r="F436" s="64"/>
      <c r="G436" s="83"/>
      <c r="H436" s="66"/>
    </row>
    <row r="437">
      <c r="F437" s="64"/>
      <c r="G437" s="83"/>
      <c r="H437" s="66"/>
    </row>
    <row r="438">
      <c r="F438" s="64"/>
      <c r="G438" s="83"/>
      <c r="H438" s="66"/>
    </row>
    <row r="439">
      <c r="F439" s="64"/>
      <c r="G439" s="83"/>
      <c r="H439" s="66"/>
    </row>
    <row r="440">
      <c r="F440" s="64"/>
      <c r="G440" s="83"/>
      <c r="H440" s="66"/>
    </row>
    <row r="441">
      <c r="F441" s="64"/>
      <c r="G441" s="83"/>
      <c r="H441" s="66"/>
    </row>
    <row r="442">
      <c r="F442" s="64"/>
      <c r="G442" s="83"/>
      <c r="H442" s="66"/>
    </row>
    <row r="443">
      <c r="F443" s="64"/>
      <c r="G443" s="83"/>
      <c r="H443" s="66"/>
    </row>
    <row r="444">
      <c r="F444" s="64"/>
      <c r="G444" s="83"/>
      <c r="H444" s="66"/>
    </row>
    <row r="445">
      <c r="F445" s="64"/>
      <c r="G445" s="83"/>
      <c r="H445" s="66"/>
    </row>
    <row r="446">
      <c r="F446" s="64"/>
      <c r="G446" s="83"/>
      <c r="H446" s="66"/>
    </row>
    <row r="447">
      <c r="F447" s="64"/>
      <c r="G447" s="83"/>
      <c r="H447" s="66"/>
    </row>
    <row r="448">
      <c r="F448" s="64"/>
      <c r="G448" s="83"/>
      <c r="H448" s="66"/>
    </row>
    <row r="449">
      <c r="F449" s="64"/>
      <c r="G449" s="83"/>
      <c r="H449" s="66"/>
    </row>
    <row r="450">
      <c r="F450" s="64"/>
      <c r="G450" s="83"/>
      <c r="H450" s="66"/>
    </row>
    <row r="451">
      <c r="F451" s="64"/>
      <c r="G451" s="83"/>
      <c r="H451" s="66"/>
    </row>
    <row r="452">
      <c r="F452" s="64"/>
      <c r="G452" s="83"/>
      <c r="H452" s="66"/>
    </row>
    <row r="453">
      <c r="F453" s="64"/>
      <c r="G453" s="83"/>
      <c r="H453" s="66"/>
    </row>
    <row r="454">
      <c r="F454" s="64"/>
      <c r="G454" s="83"/>
      <c r="H454" s="66"/>
    </row>
    <row r="455">
      <c r="F455" s="64"/>
      <c r="G455" s="83"/>
      <c r="H455" s="66"/>
    </row>
    <row r="456">
      <c r="F456" s="64"/>
      <c r="G456" s="83"/>
      <c r="H456" s="66"/>
    </row>
    <row r="457">
      <c r="F457" s="64"/>
      <c r="G457" s="83"/>
      <c r="H457" s="66"/>
    </row>
    <row r="458">
      <c r="F458" s="64"/>
      <c r="G458" s="83"/>
      <c r="H458" s="66"/>
    </row>
    <row r="459">
      <c r="F459" s="64"/>
      <c r="G459" s="83"/>
      <c r="H459" s="66"/>
    </row>
    <row r="460">
      <c r="F460" s="64"/>
      <c r="G460" s="83"/>
      <c r="H460" s="66"/>
    </row>
    <row r="461">
      <c r="F461" s="64"/>
      <c r="G461" s="83"/>
      <c r="H461" s="66"/>
    </row>
    <row r="462">
      <c r="F462" s="64"/>
      <c r="G462" s="83"/>
      <c r="H462" s="66"/>
    </row>
    <row r="463">
      <c r="F463" s="64"/>
      <c r="G463" s="83"/>
      <c r="H463" s="66"/>
    </row>
    <row r="464">
      <c r="F464" s="64"/>
      <c r="G464" s="83"/>
      <c r="H464" s="66"/>
    </row>
    <row r="465">
      <c r="F465" s="64"/>
      <c r="G465" s="83"/>
      <c r="H465" s="66"/>
    </row>
    <row r="466">
      <c r="F466" s="64"/>
      <c r="G466" s="83"/>
      <c r="H466" s="66"/>
    </row>
    <row r="467">
      <c r="F467" s="64"/>
      <c r="G467" s="83"/>
      <c r="H467" s="66"/>
    </row>
    <row r="468">
      <c r="F468" s="64"/>
      <c r="G468" s="83"/>
      <c r="H468" s="66"/>
    </row>
    <row r="469">
      <c r="F469" s="64"/>
      <c r="G469" s="83"/>
      <c r="H469" s="66"/>
    </row>
    <row r="470">
      <c r="F470" s="64"/>
      <c r="G470" s="83"/>
      <c r="H470" s="66"/>
    </row>
    <row r="471">
      <c r="F471" s="64"/>
      <c r="G471" s="83"/>
      <c r="H471" s="66"/>
    </row>
    <row r="472">
      <c r="F472" s="64"/>
      <c r="G472" s="83"/>
      <c r="H472" s="66"/>
    </row>
    <row r="473">
      <c r="F473" s="64"/>
      <c r="G473" s="83"/>
      <c r="H473" s="66"/>
    </row>
    <row r="474">
      <c r="F474" s="64"/>
      <c r="G474" s="83"/>
      <c r="H474" s="66"/>
    </row>
    <row r="475">
      <c r="F475" s="64"/>
      <c r="G475" s="83"/>
      <c r="H475" s="66"/>
    </row>
    <row r="476">
      <c r="F476" s="64"/>
      <c r="G476" s="83"/>
      <c r="H476" s="66"/>
    </row>
    <row r="477">
      <c r="F477" s="64"/>
      <c r="G477" s="83"/>
      <c r="H477" s="66"/>
    </row>
    <row r="478">
      <c r="F478" s="64"/>
      <c r="G478" s="83"/>
      <c r="H478" s="66"/>
    </row>
    <row r="479">
      <c r="F479" s="64"/>
      <c r="G479" s="83"/>
      <c r="H479" s="66"/>
    </row>
    <row r="480">
      <c r="F480" s="64"/>
      <c r="G480" s="83"/>
      <c r="H480" s="66"/>
    </row>
    <row r="481">
      <c r="F481" s="64"/>
      <c r="G481" s="83"/>
      <c r="H481" s="66"/>
    </row>
    <row r="482">
      <c r="F482" s="64"/>
      <c r="G482" s="83"/>
      <c r="H482" s="66"/>
    </row>
    <row r="483">
      <c r="F483" s="64"/>
      <c r="G483" s="83"/>
      <c r="H483" s="66"/>
    </row>
    <row r="484">
      <c r="F484" s="64"/>
      <c r="G484" s="83"/>
      <c r="H484" s="66"/>
    </row>
    <row r="485">
      <c r="F485" s="64"/>
      <c r="G485" s="83"/>
      <c r="H485" s="66"/>
    </row>
    <row r="486">
      <c r="F486" s="64"/>
      <c r="G486" s="83"/>
      <c r="H486" s="66"/>
    </row>
    <row r="487">
      <c r="F487" s="64"/>
      <c r="G487" s="83"/>
      <c r="H487" s="66"/>
    </row>
    <row r="488">
      <c r="F488" s="64"/>
      <c r="G488" s="83"/>
      <c r="H488" s="66"/>
    </row>
    <row r="489">
      <c r="F489" s="64"/>
      <c r="G489" s="83"/>
      <c r="H489" s="66"/>
    </row>
    <row r="490">
      <c r="F490" s="64"/>
      <c r="G490" s="83"/>
      <c r="H490" s="66"/>
    </row>
    <row r="491">
      <c r="F491" s="64"/>
      <c r="G491" s="83"/>
      <c r="H491" s="66"/>
    </row>
    <row r="492">
      <c r="F492" s="64"/>
      <c r="G492" s="83"/>
      <c r="H492" s="66"/>
    </row>
    <row r="493">
      <c r="F493" s="64"/>
      <c r="G493" s="83"/>
      <c r="H493" s="66"/>
    </row>
    <row r="494">
      <c r="F494" s="64"/>
      <c r="G494" s="83"/>
      <c r="H494" s="66"/>
    </row>
    <row r="495">
      <c r="F495" s="64"/>
      <c r="G495" s="83"/>
      <c r="H495" s="66"/>
    </row>
    <row r="496">
      <c r="F496" s="64"/>
      <c r="G496" s="83"/>
      <c r="H496" s="66"/>
    </row>
    <row r="497">
      <c r="F497" s="64"/>
      <c r="G497" s="83"/>
      <c r="H497" s="66"/>
    </row>
    <row r="498">
      <c r="F498" s="64"/>
      <c r="G498" s="83"/>
      <c r="H498" s="66"/>
    </row>
    <row r="499">
      <c r="F499" s="64"/>
      <c r="G499" s="83"/>
      <c r="H499" s="66"/>
    </row>
    <row r="500">
      <c r="F500" s="64"/>
      <c r="G500" s="83"/>
      <c r="H500" s="66"/>
    </row>
    <row r="501">
      <c r="F501" s="64"/>
      <c r="G501" s="83"/>
      <c r="H501" s="66"/>
    </row>
    <row r="502">
      <c r="F502" s="64"/>
      <c r="G502" s="83"/>
      <c r="H502" s="66"/>
    </row>
    <row r="503">
      <c r="F503" s="64"/>
      <c r="G503" s="83"/>
      <c r="H503" s="66"/>
    </row>
    <row r="504">
      <c r="F504" s="64"/>
      <c r="G504" s="83"/>
      <c r="H504" s="66"/>
    </row>
    <row r="505">
      <c r="F505" s="64"/>
      <c r="G505" s="83"/>
      <c r="H505" s="66"/>
    </row>
    <row r="506">
      <c r="F506" s="64"/>
      <c r="G506" s="83"/>
      <c r="H506" s="66"/>
    </row>
    <row r="507">
      <c r="F507" s="64"/>
      <c r="G507" s="83"/>
      <c r="H507" s="66"/>
    </row>
    <row r="508">
      <c r="F508" s="64"/>
      <c r="G508" s="83"/>
      <c r="H508" s="66"/>
    </row>
    <row r="509">
      <c r="F509" s="64"/>
      <c r="G509" s="83"/>
      <c r="H509" s="66"/>
    </row>
    <row r="510">
      <c r="F510" s="64"/>
      <c r="G510" s="83"/>
      <c r="H510" s="66"/>
    </row>
    <row r="511">
      <c r="F511" s="64"/>
      <c r="G511" s="83"/>
      <c r="H511" s="66"/>
    </row>
    <row r="512">
      <c r="F512" s="64"/>
      <c r="G512" s="83"/>
      <c r="H512" s="66"/>
    </row>
    <row r="513">
      <c r="F513" s="64"/>
      <c r="G513" s="83"/>
      <c r="H513" s="66"/>
    </row>
    <row r="514">
      <c r="F514" s="64"/>
      <c r="G514" s="83"/>
      <c r="H514" s="66"/>
    </row>
    <row r="515">
      <c r="F515" s="64"/>
      <c r="G515" s="83"/>
      <c r="H515" s="66"/>
    </row>
    <row r="516">
      <c r="F516" s="64"/>
      <c r="G516" s="83"/>
      <c r="H516" s="66"/>
    </row>
    <row r="517">
      <c r="F517" s="64"/>
      <c r="G517" s="83"/>
      <c r="H517" s="66"/>
    </row>
    <row r="518">
      <c r="F518" s="64"/>
      <c r="G518" s="83"/>
      <c r="H518" s="66"/>
    </row>
    <row r="519">
      <c r="F519" s="64"/>
      <c r="G519" s="83"/>
      <c r="H519" s="66"/>
    </row>
    <row r="520">
      <c r="F520" s="64"/>
      <c r="G520" s="83"/>
      <c r="H520" s="66"/>
    </row>
    <row r="521">
      <c r="F521" s="64"/>
      <c r="G521" s="83"/>
      <c r="H521" s="66"/>
    </row>
    <row r="522">
      <c r="F522" s="64"/>
      <c r="G522" s="83"/>
      <c r="H522" s="66"/>
    </row>
    <row r="523">
      <c r="F523" s="64"/>
      <c r="G523" s="83"/>
      <c r="H523" s="66"/>
    </row>
    <row r="524">
      <c r="F524" s="64"/>
      <c r="G524" s="83"/>
      <c r="H524" s="66"/>
    </row>
    <row r="525">
      <c r="F525" s="64"/>
      <c r="G525" s="83"/>
      <c r="H525" s="66"/>
    </row>
    <row r="526">
      <c r="F526" s="64"/>
      <c r="G526" s="83"/>
      <c r="H526" s="66"/>
    </row>
    <row r="527">
      <c r="F527" s="64"/>
      <c r="G527" s="83"/>
      <c r="H527" s="66"/>
    </row>
    <row r="528">
      <c r="F528" s="64"/>
      <c r="G528" s="83"/>
      <c r="H528" s="66"/>
    </row>
    <row r="529">
      <c r="F529" s="64"/>
      <c r="G529" s="83"/>
      <c r="H529" s="66"/>
    </row>
    <row r="530">
      <c r="F530" s="64"/>
      <c r="G530" s="83"/>
      <c r="H530" s="66"/>
    </row>
    <row r="531">
      <c r="F531" s="64"/>
      <c r="G531" s="83"/>
      <c r="H531" s="66"/>
    </row>
    <row r="532">
      <c r="F532" s="64"/>
      <c r="G532" s="83"/>
      <c r="H532" s="66"/>
    </row>
    <row r="533">
      <c r="F533" s="64"/>
      <c r="G533" s="83"/>
      <c r="H533" s="66"/>
    </row>
    <row r="534">
      <c r="F534" s="64"/>
      <c r="G534" s="83"/>
      <c r="H534" s="66"/>
    </row>
    <row r="535">
      <c r="F535" s="64"/>
      <c r="G535" s="83"/>
      <c r="H535" s="66"/>
    </row>
    <row r="536">
      <c r="F536" s="64"/>
      <c r="G536" s="83"/>
      <c r="H536" s="66"/>
    </row>
    <row r="537">
      <c r="F537" s="64"/>
      <c r="G537" s="83"/>
      <c r="H537" s="66"/>
    </row>
    <row r="538">
      <c r="F538" s="64"/>
      <c r="G538" s="83"/>
      <c r="H538" s="66"/>
    </row>
    <row r="539">
      <c r="F539" s="64"/>
      <c r="G539" s="83"/>
      <c r="H539" s="66"/>
    </row>
    <row r="540">
      <c r="F540" s="64"/>
      <c r="G540" s="83"/>
      <c r="H540" s="66"/>
    </row>
    <row r="541">
      <c r="F541" s="64"/>
      <c r="G541" s="83"/>
      <c r="H541" s="66"/>
    </row>
    <row r="542">
      <c r="F542" s="64"/>
      <c r="G542" s="83"/>
      <c r="H542" s="66"/>
    </row>
    <row r="543">
      <c r="F543" s="64"/>
      <c r="G543" s="83"/>
      <c r="H543" s="66"/>
    </row>
    <row r="544">
      <c r="F544" s="64"/>
      <c r="G544" s="83"/>
      <c r="H544" s="66"/>
    </row>
    <row r="545">
      <c r="F545" s="64"/>
      <c r="G545" s="83"/>
      <c r="H545" s="66"/>
    </row>
    <row r="546">
      <c r="F546" s="64"/>
      <c r="G546" s="83"/>
      <c r="H546" s="66"/>
    </row>
    <row r="547">
      <c r="F547" s="64"/>
      <c r="G547" s="83"/>
      <c r="H547" s="66"/>
    </row>
    <row r="548">
      <c r="F548" s="64"/>
      <c r="G548" s="83"/>
      <c r="H548" s="66"/>
    </row>
    <row r="549">
      <c r="F549" s="64"/>
      <c r="G549" s="83"/>
      <c r="H549" s="66"/>
    </row>
    <row r="550">
      <c r="F550" s="64"/>
      <c r="G550" s="83"/>
      <c r="H550" s="66"/>
    </row>
    <row r="551">
      <c r="F551" s="64"/>
      <c r="G551" s="83"/>
      <c r="H551" s="66"/>
    </row>
    <row r="552">
      <c r="F552" s="64"/>
      <c r="G552" s="83"/>
      <c r="H552" s="66"/>
    </row>
    <row r="553">
      <c r="F553" s="64"/>
      <c r="G553" s="83"/>
      <c r="H553" s="66"/>
    </row>
    <row r="554">
      <c r="F554" s="64"/>
      <c r="G554" s="83"/>
      <c r="H554" s="66"/>
    </row>
    <row r="555">
      <c r="F555" s="64"/>
      <c r="G555" s="83"/>
      <c r="H555" s="66"/>
    </row>
    <row r="556">
      <c r="F556" s="64"/>
      <c r="G556" s="83"/>
      <c r="H556" s="66"/>
    </row>
    <row r="557">
      <c r="F557" s="64"/>
      <c r="G557" s="83"/>
      <c r="H557" s="66"/>
    </row>
    <row r="558">
      <c r="F558" s="64"/>
      <c r="G558" s="83"/>
      <c r="H558" s="66"/>
    </row>
    <row r="559">
      <c r="F559" s="64"/>
      <c r="G559" s="83"/>
      <c r="H559" s="66"/>
    </row>
    <row r="560">
      <c r="F560" s="64"/>
      <c r="G560" s="83"/>
      <c r="H560" s="66"/>
    </row>
    <row r="561">
      <c r="F561" s="64"/>
      <c r="G561" s="83"/>
      <c r="H561" s="66"/>
    </row>
    <row r="562">
      <c r="F562" s="64"/>
      <c r="G562" s="83"/>
      <c r="H562" s="66"/>
    </row>
    <row r="563">
      <c r="F563" s="64"/>
      <c r="G563" s="83"/>
      <c r="H563" s="66"/>
    </row>
    <row r="564">
      <c r="F564" s="64"/>
      <c r="G564" s="83"/>
      <c r="H564" s="66"/>
    </row>
    <row r="565">
      <c r="F565" s="64"/>
      <c r="G565" s="83"/>
      <c r="H565" s="66"/>
    </row>
    <row r="566">
      <c r="F566" s="64"/>
      <c r="G566" s="83"/>
      <c r="H566" s="66"/>
    </row>
    <row r="567">
      <c r="F567" s="64"/>
      <c r="G567" s="83"/>
      <c r="H567" s="66"/>
    </row>
    <row r="568">
      <c r="F568" s="64"/>
      <c r="G568" s="83"/>
      <c r="H568" s="66"/>
    </row>
    <row r="569">
      <c r="F569" s="64"/>
      <c r="G569" s="83"/>
      <c r="H569" s="66"/>
    </row>
    <row r="570">
      <c r="F570" s="64"/>
      <c r="G570" s="83"/>
      <c r="H570" s="66"/>
    </row>
    <row r="571">
      <c r="F571" s="64"/>
      <c r="G571" s="83"/>
      <c r="H571" s="66"/>
    </row>
    <row r="572">
      <c r="F572" s="64"/>
      <c r="G572" s="83"/>
      <c r="H572" s="66"/>
    </row>
    <row r="573">
      <c r="F573" s="64"/>
      <c r="G573" s="83"/>
      <c r="H573" s="66"/>
    </row>
    <row r="574">
      <c r="F574" s="64"/>
      <c r="G574" s="83"/>
      <c r="H574" s="66"/>
    </row>
    <row r="575">
      <c r="F575" s="64"/>
      <c r="G575" s="83"/>
      <c r="H575" s="66"/>
    </row>
    <row r="576">
      <c r="F576" s="64"/>
      <c r="G576" s="83"/>
      <c r="H576" s="66"/>
    </row>
    <row r="577">
      <c r="F577" s="64"/>
      <c r="G577" s="83"/>
      <c r="H577" s="66"/>
    </row>
    <row r="578">
      <c r="F578" s="64"/>
      <c r="G578" s="83"/>
      <c r="H578" s="66"/>
    </row>
    <row r="579">
      <c r="F579" s="64"/>
      <c r="G579" s="83"/>
      <c r="H579" s="66"/>
    </row>
    <row r="580">
      <c r="F580" s="64"/>
      <c r="G580" s="83"/>
      <c r="H580" s="66"/>
    </row>
    <row r="581">
      <c r="F581" s="64"/>
      <c r="G581" s="83"/>
      <c r="H581" s="66"/>
    </row>
    <row r="582">
      <c r="F582" s="64"/>
      <c r="G582" s="83"/>
      <c r="H582" s="66"/>
    </row>
    <row r="583">
      <c r="F583" s="64"/>
      <c r="G583" s="83"/>
      <c r="H583" s="66"/>
    </row>
    <row r="584">
      <c r="F584" s="64"/>
      <c r="G584" s="83"/>
      <c r="H584" s="66"/>
    </row>
    <row r="585">
      <c r="F585" s="64"/>
      <c r="G585" s="83"/>
      <c r="H585" s="66"/>
    </row>
    <row r="586">
      <c r="F586" s="64"/>
      <c r="G586" s="83"/>
      <c r="H586" s="66"/>
    </row>
    <row r="587">
      <c r="F587" s="64"/>
      <c r="G587" s="83"/>
      <c r="H587" s="66"/>
    </row>
    <row r="588">
      <c r="F588" s="64"/>
      <c r="G588" s="83"/>
      <c r="H588" s="66"/>
    </row>
    <row r="589">
      <c r="F589" s="64"/>
      <c r="G589" s="83"/>
      <c r="H589" s="66"/>
    </row>
    <row r="590">
      <c r="F590" s="64"/>
      <c r="G590" s="83"/>
      <c r="H590" s="66"/>
    </row>
    <row r="591">
      <c r="F591" s="64"/>
      <c r="G591" s="83"/>
      <c r="H591" s="66"/>
    </row>
    <row r="592">
      <c r="F592" s="64"/>
      <c r="G592" s="83"/>
      <c r="H592" s="66"/>
    </row>
    <row r="593">
      <c r="F593" s="64"/>
      <c r="G593" s="83"/>
      <c r="H593" s="66"/>
    </row>
    <row r="594">
      <c r="F594" s="64"/>
      <c r="G594" s="83"/>
      <c r="H594" s="66"/>
    </row>
    <row r="595">
      <c r="F595" s="64"/>
      <c r="G595" s="83"/>
      <c r="H595" s="66"/>
    </row>
    <row r="596">
      <c r="F596" s="64"/>
      <c r="G596" s="83"/>
      <c r="H596" s="66"/>
    </row>
    <row r="597">
      <c r="F597" s="64"/>
      <c r="G597" s="83"/>
      <c r="H597" s="66"/>
    </row>
    <row r="598">
      <c r="F598" s="64"/>
      <c r="G598" s="83"/>
      <c r="H598" s="66"/>
    </row>
    <row r="599">
      <c r="F599" s="64"/>
      <c r="G599" s="83"/>
      <c r="H599" s="66"/>
    </row>
    <row r="600">
      <c r="F600" s="64"/>
      <c r="G600" s="83"/>
      <c r="H600" s="66"/>
    </row>
    <row r="601">
      <c r="F601" s="64"/>
      <c r="G601" s="83"/>
      <c r="H601" s="66"/>
    </row>
    <row r="602">
      <c r="F602" s="64"/>
      <c r="G602" s="83"/>
      <c r="H602" s="66"/>
    </row>
    <row r="603">
      <c r="F603" s="64"/>
      <c r="G603" s="83"/>
      <c r="H603" s="66"/>
    </row>
    <row r="604">
      <c r="F604" s="64"/>
      <c r="G604" s="83"/>
      <c r="H604" s="66"/>
    </row>
    <row r="605">
      <c r="F605" s="64"/>
      <c r="G605" s="83"/>
      <c r="H605" s="66"/>
    </row>
    <row r="606">
      <c r="F606" s="64"/>
      <c r="G606" s="83"/>
      <c r="H606" s="66"/>
    </row>
    <row r="607">
      <c r="F607" s="64"/>
      <c r="G607" s="83"/>
      <c r="H607" s="66"/>
    </row>
    <row r="608">
      <c r="F608" s="64"/>
      <c r="G608" s="83"/>
      <c r="H608" s="66"/>
    </row>
    <row r="609">
      <c r="F609" s="64"/>
      <c r="G609" s="83"/>
      <c r="H609" s="66"/>
    </row>
    <row r="610">
      <c r="F610" s="64"/>
      <c r="G610" s="83"/>
      <c r="H610" s="66"/>
    </row>
    <row r="611">
      <c r="F611" s="64"/>
      <c r="G611" s="83"/>
      <c r="H611" s="66"/>
    </row>
    <row r="612">
      <c r="F612" s="64"/>
      <c r="G612" s="83"/>
      <c r="H612" s="66"/>
    </row>
    <row r="613">
      <c r="F613" s="64"/>
      <c r="G613" s="83"/>
      <c r="H613" s="66"/>
    </row>
    <row r="614">
      <c r="F614" s="64"/>
      <c r="G614" s="83"/>
      <c r="H614" s="66"/>
    </row>
    <row r="615">
      <c r="F615" s="64"/>
      <c r="G615" s="83"/>
      <c r="H615" s="66"/>
    </row>
    <row r="616">
      <c r="F616" s="64"/>
      <c r="G616" s="83"/>
      <c r="H616" s="66"/>
    </row>
    <row r="617">
      <c r="F617" s="64"/>
      <c r="G617" s="83"/>
      <c r="H617" s="66"/>
    </row>
    <row r="618">
      <c r="F618" s="64"/>
      <c r="G618" s="83"/>
      <c r="H618" s="66"/>
    </row>
    <row r="619">
      <c r="F619" s="64"/>
      <c r="G619" s="83"/>
      <c r="H619" s="66"/>
    </row>
    <row r="620">
      <c r="F620" s="64"/>
      <c r="G620" s="83"/>
      <c r="H620" s="66"/>
    </row>
    <row r="621">
      <c r="F621" s="64"/>
      <c r="G621" s="83"/>
      <c r="H621" s="66"/>
    </row>
    <row r="622">
      <c r="F622" s="64"/>
      <c r="G622" s="83"/>
      <c r="H622" s="66"/>
    </row>
    <row r="623">
      <c r="F623" s="64"/>
      <c r="G623" s="83"/>
      <c r="H623" s="66"/>
    </row>
    <row r="624">
      <c r="F624" s="64"/>
      <c r="G624" s="83"/>
      <c r="H624" s="66"/>
    </row>
    <row r="625">
      <c r="F625" s="64"/>
      <c r="G625" s="83"/>
      <c r="H625" s="66"/>
    </row>
    <row r="626">
      <c r="F626" s="64"/>
      <c r="G626" s="83"/>
      <c r="H626" s="66"/>
    </row>
    <row r="627">
      <c r="F627" s="64"/>
      <c r="G627" s="83"/>
      <c r="H627" s="66"/>
    </row>
    <row r="628">
      <c r="F628" s="64"/>
      <c r="G628" s="83"/>
      <c r="H628" s="66"/>
    </row>
    <row r="629">
      <c r="F629" s="64"/>
      <c r="G629" s="83"/>
      <c r="H629" s="66"/>
    </row>
    <row r="630">
      <c r="F630" s="64"/>
      <c r="G630" s="83"/>
      <c r="H630" s="66"/>
    </row>
    <row r="631">
      <c r="F631" s="64"/>
      <c r="G631" s="83"/>
      <c r="H631" s="66"/>
    </row>
    <row r="632">
      <c r="F632" s="64"/>
      <c r="G632" s="83"/>
      <c r="H632" s="66"/>
    </row>
    <row r="633">
      <c r="F633" s="64"/>
      <c r="G633" s="83"/>
      <c r="H633" s="66"/>
    </row>
    <row r="634">
      <c r="F634" s="64"/>
      <c r="G634" s="83"/>
      <c r="H634" s="66"/>
    </row>
    <row r="635">
      <c r="F635" s="64"/>
      <c r="G635" s="83"/>
      <c r="H635" s="66"/>
    </row>
    <row r="636">
      <c r="F636" s="64"/>
      <c r="G636" s="83"/>
      <c r="H636" s="66"/>
    </row>
    <row r="637">
      <c r="F637" s="64"/>
      <c r="G637" s="83"/>
      <c r="H637" s="66"/>
    </row>
    <row r="638">
      <c r="F638" s="64"/>
      <c r="G638" s="83"/>
      <c r="H638" s="66"/>
    </row>
    <row r="639">
      <c r="F639" s="64"/>
      <c r="G639" s="83"/>
      <c r="H639" s="66"/>
    </row>
    <row r="640">
      <c r="F640" s="64"/>
      <c r="G640" s="83"/>
      <c r="H640" s="66"/>
    </row>
    <row r="641">
      <c r="F641" s="64"/>
      <c r="G641" s="83"/>
      <c r="H641" s="66"/>
    </row>
    <row r="642">
      <c r="F642" s="64"/>
      <c r="G642" s="83"/>
      <c r="H642" s="66"/>
    </row>
    <row r="643">
      <c r="F643" s="64"/>
      <c r="G643" s="83"/>
      <c r="H643" s="66"/>
    </row>
    <row r="644">
      <c r="F644" s="64"/>
      <c r="G644" s="83"/>
      <c r="H644" s="66"/>
    </row>
    <row r="645">
      <c r="F645" s="64"/>
      <c r="G645" s="83"/>
      <c r="H645" s="66"/>
    </row>
    <row r="646">
      <c r="F646" s="64"/>
      <c r="G646" s="83"/>
      <c r="H646" s="66"/>
    </row>
    <row r="647">
      <c r="F647" s="64"/>
      <c r="G647" s="83"/>
      <c r="H647" s="66"/>
    </row>
    <row r="648">
      <c r="F648" s="64"/>
      <c r="G648" s="83"/>
      <c r="H648" s="66"/>
    </row>
    <row r="649">
      <c r="F649" s="64"/>
      <c r="G649" s="83"/>
      <c r="H649" s="66"/>
    </row>
    <row r="650">
      <c r="F650" s="64"/>
      <c r="G650" s="83"/>
      <c r="H650" s="66"/>
    </row>
    <row r="651">
      <c r="F651" s="64"/>
      <c r="G651" s="83"/>
      <c r="H651" s="66"/>
    </row>
    <row r="652">
      <c r="F652" s="64"/>
      <c r="G652" s="83"/>
      <c r="H652" s="66"/>
    </row>
    <row r="653">
      <c r="F653" s="64"/>
      <c r="G653" s="83"/>
      <c r="H653" s="66"/>
    </row>
    <row r="654">
      <c r="F654" s="64"/>
      <c r="G654" s="83"/>
      <c r="H654" s="66"/>
    </row>
    <row r="655">
      <c r="F655" s="64"/>
      <c r="G655" s="83"/>
      <c r="H655" s="66"/>
    </row>
    <row r="656">
      <c r="F656" s="64"/>
      <c r="G656" s="83"/>
      <c r="H656" s="66"/>
    </row>
    <row r="657">
      <c r="F657" s="64"/>
      <c r="G657" s="83"/>
      <c r="H657" s="66"/>
    </row>
    <row r="658">
      <c r="F658" s="64"/>
      <c r="G658" s="83"/>
      <c r="H658" s="66"/>
    </row>
    <row r="659">
      <c r="F659" s="64"/>
      <c r="G659" s="83"/>
      <c r="H659" s="66"/>
    </row>
    <row r="660">
      <c r="F660" s="64"/>
      <c r="G660" s="83"/>
      <c r="H660" s="66"/>
    </row>
    <row r="661">
      <c r="F661" s="64"/>
      <c r="G661" s="83"/>
      <c r="H661" s="66"/>
    </row>
    <row r="662">
      <c r="F662" s="64"/>
      <c r="G662" s="83"/>
      <c r="H662" s="66"/>
    </row>
    <row r="663">
      <c r="F663" s="64"/>
      <c r="G663" s="83"/>
      <c r="H663" s="66"/>
    </row>
    <row r="664">
      <c r="F664" s="64"/>
      <c r="G664" s="83"/>
      <c r="H664" s="66"/>
    </row>
    <row r="665">
      <c r="F665" s="64"/>
      <c r="G665" s="83"/>
      <c r="H665" s="66"/>
    </row>
    <row r="666">
      <c r="F666" s="64"/>
      <c r="G666" s="83"/>
      <c r="H666" s="66"/>
    </row>
    <row r="667">
      <c r="F667" s="64"/>
      <c r="G667" s="83"/>
      <c r="H667" s="66"/>
    </row>
    <row r="668">
      <c r="F668" s="64"/>
      <c r="G668" s="83"/>
      <c r="H668" s="66"/>
    </row>
    <row r="669">
      <c r="F669" s="64"/>
      <c r="G669" s="83"/>
      <c r="H669" s="66"/>
    </row>
    <row r="670">
      <c r="F670" s="64"/>
      <c r="G670" s="83"/>
      <c r="H670" s="66"/>
    </row>
    <row r="671">
      <c r="F671" s="64"/>
      <c r="G671" s="83"/>
      <c r="H671" s="66"/>
    </row>
    <row r="672">
      <c r="F672" s="64"/>
      <c r="G672" s="83"/>
      <c r="H672" s="66"/>
    </row>
    <row r="673">
      <c r="F673" s="64"/>
      <c r="G673" s="83"/>
      <c r="H673" s="66"/>
    </row>
    <row r="674">
      <c r="F674" s="64"/>
      <c r="G674" s="83"/>
      <c r="H674" s="66"/>
    </row>
    <row r="675">
      <c r="F675" s="64"/>
      <c r="G675" s="83"/>
      <c r="H675" s="66"/>
    </row>
    <row r="676">
      <c r="F676" s="64"/>
      <c r="G676" s="83"/>
      <c r="H676" s="66"/>
    </row>
    <row r="677">
      <c r="F677" s="64"/>
      <c r="G677" s="83"/>
      <c r="H677" s="66"/>
    </row>
    <row r="678">
      <c r="F678" s="64"/>
      <c r="G678" s="83"/>
      <c r="H678" s="66"/>
    </row>
    <row r="679">
      <c r="F679" s="64"/>
      <c r="G679" s="83"/>
      <c r="H679" s="66"/>
    </row>
    <row r="680">
      <c r="F680" s="64"/>
      <c r="G680" s="83"/>
      <c r="H680" s="66"/>
    </row>
    <row r="681">
      <c r="F681" s="64"/>
      <c r="G681" s="83"/>
      <c r="H681" s="66"/>
    </row>
    <row r="682">
      <c r="F682" s="64"/>
      <c r="G682" s="83"/>
      <c r="H682" s="66"/>
    </row>
    <row r="683">
      <c r="F683" s="64"/>
      <c r="G683" s="83"/>
      <c r="H683" s="66"/>
    </row>
    <row r="684">
      <c r="F684" s="64"/>
      <c r="G684" s="83"/>
      <c r="H684" s="66"/>
    </row>
    <row r="685">
      <c r="F685" s="64"/>
      <c r="G685" s="83"/>
      <c r="H685" s="66"/>
    </row>
    <row r="686">
      <c r="F686" s="64"/>
      <c r="G686" s="83"/>
      <c r="H686" s="66"/>
    </row>
    <row r="687">
      <c r="F687" s="64"/>
      <c r="G687" s="83"/>
      <c r="H687" s="66"/>
    </row>
    <row r="688">
      <c r="F688" s="64"/>
      <c r="G688" s="83"/>
      <c r="H688" s="66"/>
    </row>
    <row r="689">
      <c r="F689" s="64"/>
      <c r="G689" s="83"/>
      <c r="H689" s="66"/>
    </row>
    <row r="690">
      <c r="F690" s="64"/>
      <c r="G690" s="83"/>
      <c r="H690" s="66"/>
    </row>
    <row r="691">
      <c r="F691" s="64"/>
      <c r="G691" s="83"/>
      <c r="H691" s="66"/>
    </row>
    <row r="692">
      <c r="F692" s="64"/>
      <c r="G692" s="83"/>
      <c r="H692" s="66"/>
    </row>
    <row r="693">
      <c r="F693" s="64"/>
      <c r="G693" s="83"/>
      <c r="H693" s="66"/>
    </row>
    <row r="694">
      <c r="F694" s="64"/>
      <c r="G694" s="83"/>
      <c r="H694" s="66"/>
    </row>
    <row r="695">
      <c r="F695" s="64"/>
      <c r="G695" s="83"/>
      <c r="H695" s="66"/>
    </row>
    <row r="696">
      <c r="F696" s="64"/>
      <c r="G696" s="83"/>
      <c r="H696" s="66"/>
    </row>
    <row r="697">
      <c r="F697" s="64"/>
      <c r="G697" s="83"/>
      <c r="H697" s="66"/>
    </row>
    <row r="698">
      <c r="F698" s="64"/>
      <c r="G698" s="83"/>
      <c r="H698" s="66"/>
    </row>
    <row r="699">
      <c r="F699" s="64"/>
      <c r="G699" s="83"/>
      <c r="H699" s="66"/>
    </row>
    <row r="700">
      <c r="F700" s="64"/>
      <c r="G700" s="83"/>
      <c r="H700" s="66"/>
    </row>
    <row r="701">
      <c r="F701" s="64"/>
      <c r="G701" s="83"/>
      <c r="H701" s="66"/>
    </row>
    <row r="702">
      <c r="F702" s="64"/>
      <c r="G702" s="83"/>
      <c r="H702" s="66"/>
    </row>
    <row r="703">
      <c r="F703" s="64"/>
      <c r="G703" s="83"/>
      <c r="H703" s="66"/>
    </row>
    <row r="704">
      <c r="F704" s="64"/>
      <c r="G704" s="83"/>
      <c r="H704" s="66"/>
    </row>
    <row r="705">
      <c r="F705" s="64"/>
      <c r="G705" s="83"/>
      <c r="H705" s="66"/>
    </row>
    <row r="706">
      <c r="F706" s="64"/>
      <c r="G706" s="83"/>
      <c r="H706" s="66"/>
    </row>
    <row r="707">
      <c r="F707" s="64"/>
      <c r="G707" s="83"/>
      <c r="H707" s="66"/>
    </row>
    <row r="708">
      <c r="F708" s="64"/>
      <c r="G708" s="83"/>
      <c r="H708" s="66"/>
    </row>
    <row r="709">
      <c r="F709" s="64"/>
      <c r="G709" s="83"/>
      <c r="H709" s="66"/>
    </row>
    <row r="710">
      <c r="F710" s="64"/>
      <c r="G710" s="83"/>
      <c r="H710" s="66"/>
    </row>
    <row r="711">
      <c r="F711" s="64"/>
      <c r="G711" s="83"/>
      <c r="H711" s="66"/>
    </row>
    <row r="712">
      <c r="F712" s="64"/>
      <c r="G712" s="83"/>
      <c r="H712" s="66"/>
    </row>
    <row r="713">
      <c r="F713" s="64"/>
      <c r="G713" s="83"/>
      <c r="H713" s="66"/>
    </row>
    <row r="714">
      <c r="F714" s="64"/>
      <c r="G714" s="83"/>
      <c r="H714" s="66"/>
    </row>
    <row r="715">
      <c r="F715" s="64"/>
      <c r="G715" s="83"/>
      <c r="H715" s="66"/>
    </row>
    <row r="716">
      <c r="F716" s="64"/>
      <c r="G716" s="83"/>
      <c r="H716" s="66"/>
    </row>
    <row r="717">
      <c r="F717" s="64"/>
      <c r="G717" s="83"/>
      <c r="H717" s="66"/>
    </row>
    <row r="718">
      <c r="F718" s="64"/>
      <c r="G718" s="83"/>
      <c r="H718" s="66"/>
    </row>
    <row r="719">
      <c r="F719" s="64"/>
      <c r="G719" s="83"/>
      <c r="H719" s="66"/>
    </row>
    <row r="720">
      <c r="F720" s="64"/>
      <c r="G720" s="83"/>
      <c r="H720" s="66"/>
    </row>
    <row r="721">
      <c r="F721" s="64"/>
      <c r="G721" s="83"/>
      <c r="H721" s="66"/>
    </row>
    <row r="722">
      <c r="F722" s="64"/>
      <c r="G722" s="83"/>
      <c r="H722" s="66"/>
    </row>
    <row r="723">
      <c r="F723" s="64"/>
      <c r="G723" s="83"/>
      <c r="H723" s="66"/>
    </row>
    <row r="724">
      <c r="F724" s="64"/>
      <c r="G724" s="83"/>
      <c r="H724" s="66"/>
    </row>
    <row r="725">
      <c r="F725" s="64"/>
      <c r="G725" s="83"/>
      <c r="H725" s="66"/>
    </row>
    <row r="726">
      <c r="F726" s="64"/>
      <c r="G726" s="83"/>
      <c r="H726" s="66"/>
    </row>
    <row r="727">
      <c r="F727" s="64"/>
      <c r="G727" s="83"/>
      <c r="H727" s="66"/>
    </row>
    <row r="728">
      <c r="F728" s="64"/>
      <c r="G728" s="83"/>
      <c r="H728" s="66"/>
    </row>
    <row r="729">
      <c r="F729" s="64"/>
      <c r="G729" s="83"/>
      <c r="H729" s="66"/>
    </row>
    <row r="730">
      <c r="F730" s="64"/>
      <c r="G730" s="83"/>
      <c r="H730" s="66"/>
    </row>
    <row r="731">
      <c r="F731" s="64"/>
      <c r="G731" s="83"/>
      <c r="H731" s="66"/>
    </row>
    <row r="732">
      <c r="F732" s="64"/>
      <c r="G732" s="83"/>
      <c r="H732" s="66"/>
    </row>
    <row r="733">
      <c r="F733" s="64"/>
      <c r="G733" s="83"/>
      <c r="H733" s="66"/>
    </row>
    <row r="734">
      <c r="F734" s="64"/>
      <c r="G734" s="83"/>
      <c r="H734" s="66"/>
    </row>
    <row r="735">
      <c r="F735" s="64"/>
      <c r="G735" s="83"/>
      <c r="H735" s="66"/>
    </row>
    <row r="736">
      <c r="F736" s="64"/>
      <c r="G736" s="83"/>
      <c r="H736" s="66"/>
    </row>
    <row r="737">
      <c r="F737" s="64"/>
      <c r="G737" s="83"/>
      <c r="H737" s="66"/>
    </row>
    <row r="738">
      <c r="F738" s="64"/>
      <c r="G738" s="83"/>
      <c r="H738" s="66"/>
    </row>
    <row r="739">
      <c r="F739" s="64"/>
      <c r="G739" s="83"/>
      <c r="H739" s="66"/>
    </row>
    <row r="740">
      <c r="F740" s="64"/>
      <c r="G740" s="83"/>
      <c r="H740" s="66"/>
    </row>
    <row r="741">
      <c r="F741" s="64"/>
      <c r="G741" s="83"/>
      <c r="H741" s="66"/>
    </row>
    <row r="742">
      <c r="F742" s="64"/>
      <c r="G742" s="83"/>
      <c r="H742" s="66"/>
    </row>
    <row r="743">
      <c r="F743" s="64"/>
      <c r="G743" s="83"/>
      <c r="H743" s="66"/>
    </row>
    <row r="744">
      <c r="F744" s="64"/>
      <c r="G744" s="83"/>
      <c r="H744" s="66"/>
    </row>
    <row r="745">
      <c r="F745" s="64"/>
      <c r="G745" s="83"/>
      <c r="H745" s="66"/>
    </row>
    <row r="746">
      <c r="F746" s="64"/>
      <c r="G746" s="83"/>
      <c r="H746" s="66"/>
    </row>
    <row r="747">
      <c r="F747" s="64"/>
      <c r="G747" s="83"/>
      <c r="H747" s="66"/>
    </row>
    <row r="748">
      <c r="F748" s="64"/>
      <c r="G748" s="83"/>
      <c r="H748" s="66"/>
    </row>
    <row r="749">
      <c r="F749" s="64"/>
      <c r="G749" s="83"/>
      <c r="H749" s="66"/>
    </row>
    <row r="750">
      <c r="F750" s="64"/>
      <c r="G750" s="83"/>
      <c r="H750" s="66"/>
    </row>
    <row r="751">
      <c r="F751" s="64"/>
      <c r="G751" s="83"/>
      <c r="H751" s="66"/>
    </row>
    <row r="752">
      <c r="F752" s="64"/>
      <c r="G752" s="83"/>
      <c r="H752" s="66"/>
    </row>
    <row r="753">
      <c r="F753" s="64"/>
      <c r="G753" s="83"/>
      <c r="H753" s="66"/>
    </row>
    <row r="754">
      <c r="F754" s="64"/>
      <c r="G754" s="83"/>
      <c r="H754" s="66"/>
    </row>
    <row r="755">
      <c r="F755" s="64"/>
      <c r="G755" s="83"/>
      <c r="H755" s="66"/>
    </row>
    <row r="756">
      <c r="F756" s="64"/>
      <c r="G756" s="83"/>
      <c r="H756" s="66"/>
    </row>
    <row r="757">
      <c r="F757" s="64"/>
      <c r="G757" s="83"/>
      <c r="H757" s="66"/>
    </row>
    <row r="758">
      <c r="F758" s="64"/>
      <c r="G758" s="83"/>
      <c r="H758" s="66"/>
    </row>
    <row r="759">
      <c r="F759" s="64"/>
      <c r="G759" s="83"/>
      <c r="H759" s="66"/>
    </row>
    <row r="760">
      <c r="F760" s="64"/>
      <c r="G760" s="83"/>
      <c r="H760" s="66"/>
    </row>
    <row r="761">
      <c r="F761" s="64"/>
      <c r="G761" s="83"/>
      <c r="H761" s="66"/>
    </row>
    <row r="762">
      <c r="F762" s="64"/>
      <c r="G762" s="83"/>
      <c r="H762" s="66"/>
    </row>
    <row r="763">
      <c r="F763" s="64"/>
      <c r="G763" s="83"/>
      <c r="H763" s="66"/>
    </row>
    <row r="764">
      <c r="F764" s="64"/>
      <c r="G764" s="83"/>
      <c r="H764" s="66"/>
    </row>
    <row r="765">
      <c r="F765" s="64"/>
      <c r="G765" s="83"/>
      <c r="H765" s="66"/>
    </row>
    <row r="766">
      <c r="F766" s="64"/>
      <c r="G766" s="83"/>
      <c r="H766" s="66"/>
    </row>
    <row r="767">
      <c r="F767" s="64"/>
      <c r="G767" s="83"/>
      <c r="H767" s="66"/>
    </row>
    <row r="768">
      <c r="F768" s="64"/>
      <c r="G768" s="83"/>
      <c r="H768" s="66"/>
    </row>
    <row r="769">
      <c r="F769" s="64"/>
      <c r="G769" s="83"/>
      <c r="H769" s="66"/>
    </row>
    <row r="770">
      <c r="F770" s="64"/>
      <c r="G770" s="83"/>
      <c r="H770" s="66"/>
    </row>
    <row r="771">
      <c r="F771" s="64"/>
      <c r="G771" s="83"/>
      <c r="H771" s="66"/>
    </row>
    <row r="772">
      <c r="F772" s="64"/>
      <c r="G772" s="83"/>
      <c r="H772" s="66"/>
    </row>
    <row r="773">
      <c r="F773" s="64"/>
      <c r="G773" s="83"/>
      <c r="H773" s="66"/>
    </row>
    <row r="774">
      <c r="F774" s="64"/>
      <c r="G774" s="83"/>
      <c r="H774" s="66"/>
    </row>
    <row r="775">
      <c r="F775" s="64"/>
      <c r="G775" s="83"/>
      <c r="H775" s="66"/>
    </row>
    <row r="776">
      <c r="F776" s="64"/>
      <c r="G776" s="83"/>
      <c r="H776" s="66"/>
    </row>
    <row r="777">
      <c r="F777" s="64"/>
      <c r="G777" s="83"/>
      <c r="H777" s="66"/>
    </row>
    <row r="778">
      <c r="F778" s="64"/>
      <c r="G778" s="83"/>
      <c r="H778" s="66"/>
    </row>
    <row r="779">
      <c r="F779" s="64"/>
      <c r="G779" s="83"/>
      <c r="H779" s="66"/>
    </row>
    <row r="780">
      <c r="F780" s="64"/>
      <c r="G780" s="83"/>
      <c r="H780" s="66"/>
    </row>
    <row r="781">
      <c r="F781" s="64"/>
      <c r="G781" s="83"/>
      <c r="H781" s="66"/>
    </row>
    <row r="782">
      <c r="F782" s="64"/>
      <c r="G782" s="83"/>
      <c r="H782" s="66"/>
    </row>
    <row r="783">
      <c r="F783" s="64"/>
      <c r="G783" s="83"/>
      <c r="H783" s="66"/>
    </row>
    <row r="784">
      <c r="F784" s="64"/>
      <c r="G784" s="83"/>
      <c r="H784" s="66"/>
    </row>
    <row r="785">
      <c r="F785" s="64"/>
      <c r="G785" s="83"/>
      <c r="H785" s="66"/>
    </row>
    <row r="786">
      <c r="F786" s="64"/>
      <c r="G786" s="83"/>
      <c r="H786" s="66"/>
    </row>
    <row r="787">
      <c r="F787" s="64"/>
      <c r="G787" s="83"/>
      <c r="H787" s="66"/>
    </row>
    <row r="788">
      <c r="F788" s="64"/>
      <c r="G788" s="83"/>
      <c r="H788" s="66"/>
    </row>
    <row r="789">
      <c r="F789" s="64"/>
      <c r="G789" s="83"/>
      <c r="H789" s="66"/>
    </row>
    <row r="790">
      <c r="F790" s="64"/>
      <c r="G790" s="83"/>
      <c r="H790" s="66"/>
    </row>
    <row r="791">
      <c r="F791" s="64"/>
      <c r="G791" s="83"/>
      <c r="H791" s="66"/>
    </row>
    <row r="792">
      <c r="F792" s="64"/>
      <c r="G792" s="83"/>
      <c r="H792" s="66"/>
    </row>
    <row r="793">
      <c r="F793" s="64"/>
      <c r="G793" s="83"/>
      <c r="H793" s="66"/>
    </row>
    <row r="794">
      <c r="F794" s="64"/>
      <c r="G794" s="83"/>
      <c r="H794" s="66"/>
    </row>
    <row r="795">
      <c r="F795" s="64"/>
      <c r="G795" s="83"/>
      <c r="H795" s="66"/>
    </row>
    <row r="796">
      <c r="F796" s="64"/>
      <c r="G796" s="83"/>
      <c r="H796" s="66"/>
    </row>
    <row r="797">
      <c r="F797" s="64"/>
      <c r="G797" s="83"/>
      <c r="H797" s="66"/>
    </row>
    <row r="798">
      <c r="F798" s="64"/>
      <c r="G798" s="83"/>
      <c r="H798" s="66"/>
    </row>
    <row r="799">
      <c r="F799" s="64"/>
      <c r="G799" s="83"/>
      <c r="H799" s="66"/>
    </row>
    <row r="800">
      <c r="F800" s="64"/>
      <c r="G800" s="83"/>
      <c r="H800" s="66"/>
    </row>
    <row r="801">
      <c r="F801" s="64"/>
      <c r="G801" s="83"/>
      <c r="H801" s="66"/>
    </row>
    <row r="802">
      <c r="F802" s="64"/>
      <c r="G802" s="83"/>
      <c r="H802" s="66"/>
    </row>
    <row r="803">
      <c r="F803" s="64"/>
      <c r="G803" s="83"/>
      <c r="H803" s="66"/>
    </row>
    <row r="804">
      <c r="F804" s="64"/>
      <c r="G804" s="83"/>
      <c r="H804" s="66"/>
    </row>
    <row r="805">
      <c r="F805" s="64"/>
      <c r="G805" s="83"/>
      <c r="H805" s="66"/>
    </row>
    <row r="806">
      <c r="F806" s="64"/>
      <c r="G806" s="83"/>
      <c r="H806" s="66"/>
    </row>
    <row r="807">
      <c r="F807" s="64"/>
      <c r="G807" s="83"/>
      <c r="H807" s="66"/>
    </row>
    <row r="808">
      <c r="F808" s="64"/>
      <c r="G808" s="83"/>
      <c r="H808" s="66"/>
    </row>
    <row r="809">
      <c r="F809" s="64"/>
      <c r="G809" s="83"/>
      <c r="H809" s="66"/>
    </row>
    <row r="810">
      <c r="F810" s="64"/>
      <c r="G810" s="83"/>
      <c r="H810" s="66"/>
    </row>
    <row r="811">
      <c r="F811" s="64"/>
      <c r="G811" s="83"/>
      <c r="H811" s="66"/>
    </row>
    <row r="812">
      <c r="F812" s="64"/>
      <c r="G812" s="83"/>
      <c r="H812" s="66"/>
    </row>
    <row r="813">
      <c r="F813" s="64"/>
      <c r="G813" s="83"/>
      <c r="H813" s="66"/>
    </row>
    <row r="814">
      <c r="F814" s="64"/>
      <c r="G814" s="83"/>
      <c r="H814" s="66"/>
    </row>
    <row r="815">
      <c r="F815" s="64"/>
      <c r="G815" s="83"/>
      <c r="H815" s="66"/>
    </row>
    <row r="816">
      <c r="F816" s="64"/>
      <c r="G816" s="83"/>
      <c r="H816" s="66"/>
    </row>
    <row r="817">
      <c r="F817" s="64"/>
      <c r="G817" s="83"/>
      <c r="H817" s="66"/>
    </row>
    <row r="818">
      <c r="F818" s="64"/>
      <c r="G818" s="83"/>
      <c r="H818" s="66"/>
    </row>
    <row r="819">
      <c r="F819" s="64"/>
      <c r="G819" s="83"/>
      <c r="H819" s="66"/>
    </row>
    <row r="820">
      <c r="F820" s="64"/>
      <c r="G820" s="83"/>
      <c r="H820" s="66"/>
    </row>
    <row r="821">
      <c r="F821" s="64"/>
      <c r="G821" s="83"/>
      <c r="H821" s="66"/>
    </row>
    <row r="822">
      <c r="F822" s="64"/>
      <c r="G822" s="83"/>
      <c r="H822" s="66"/>
    </row>
    <row r="823">
      <c r="F823" s="64"/>
      <c r="G823" s="83"/>
      <c r="H823" s="66"/>
    </row>
    <row r="824">
      <c r="F824" s="64"/>
      <c r="G824" s="83"/>
      <c r="H824" s="66"/>
    </row>
    <row r="825">
      <c r="F825" s="64"/>
      <c r="G825" s="83"/>
      <c r="H825" s="66"/>
    </row>
    <row r="826">
      <c r="F826" s="64"/>
      <c r="G826" s="83"/>
      <c r="H826" s="66"/>
    </row>
    <row r="827">
      <c r="F827" s="64"/>
      <c r="G827" s="83"/>
      <c r="H827" s="66"/>
    </row>
    <row r="828">
      <c r="F828" s="64"/>
      <c r="G828" s="83"/>
      <c r="H828" s="66"/>
    </row>
    <row r="829">
      <c r="F829" s="64"/>
      <c r="G829" s="83"/>
      <c r="H829" s="66"/>
    </row>
    <row r="830">
      <c r="F830" s="64"/>
      <c r="G830" s="83"/>
      <c r="H830" s="66"/>
    </row>
    <row r="831">
      <c r="F831" s="64"/>
      <c r="G831" s="83"/>
      <c r="H831" s="66"/>
    </row>
    <row r="832">
      <c r="F832" s="64"/>
      <c r="G832" s="83"/>
      <c r="H832" s="66"/>
    </row>
    <row r="833">
      <c r="F833" s="64"/>
      <c r="G833" s="83"/>
      <c r="H833" s="66"/>
    </row>
    <row r="834">
      <c r="F834" s="64"/>
      <c r="G834" s="83"/>
      <c r="H834" s="66"/>
    </row>
    <row r="835">
      <c r="F835" s="64"/>
      <c r="G835" s="83"/>
      <c r="H835" s="66"/>
    </row>
    <row r="836">
      <c r="F836" s="64"/>
      <c r="G836" s="83"/>
      <c r="H836" s="66"/>
    </row>
    <row r="837">
      <c r="F837" s="64"/>
      <c r="G837" s="83"/>
      <c r="H837" s="66"/>
    </row>
    <row r="838">
      <c r="F838" s="64"/>
      <c r="G838" s="83"/>
      <c r="H838" s="66"/>
    </row>
    <row r="839">
      <c r="F839" s="64"/>
      <c r="G839" s="83"/>
      <c r="H839" s="66"/>
    </row>
    <row r="840">
      <c r="F840" s="64"/>
      <c r="G840" s="83"/>
      <c r="H840" s="66"/>
    </row>
    <row r="841">
      <c r="F841" s="64"/>
      <c r="G841" s="83"/>
      <c r="H841" s="66"/>
    </row>
    <row r="842">
      <c r="F842" s="64"/>
      <c r="G842" s="83"/>
      <c r="H842" s="66"/>
    </row>
    <row r="843">
      <c r="F843" s="64"/>
      <c r="G843" s="83"/>
      <c r="H843" s="66"/>
    </row>
    <row r="844">
      <c r="F844" s="64"/>
      <c r="G844" s="83"/>
      <c r="H844" s="66"/>
    </row>
    <row r="845">
      <c r="F845" s="64"/>
      <c r="G845" s="83"/>
      <c r="H845" s="66"/>
    </row>
    <row r="846">
      <c r="F846" s="64"/>
      <c r="G846" s="83"/>
      <c r="H846" s="66"/>
    </row>
    <row r="847">
      <c r="F847" s="64"/>
      <c r="G847" s="83"/>
      <c r="H847" s="66"/>
    </row>
    <row r="848">
      <c r="F848" s="64"/>
      <c r="G848" s="83"/>
      <c r="H848" s="66"/>
    </row>
    <row r="849">
      <c r="F849" s="64"/>
      <c r="G849" s="83"/>
      <c r="H849" s="66"/>
    </row>
    <row r="850">
      <c r="F850" s="64"/>
      <c r="G850" s="83"/>
      <c r="H850" s="66"/>
    </row>
    <row r="851">
      <c r="F851" s="64"/>
      <c r="G851" s="83"/>
      <c r="H851" s="66"/>
    </row>
    <row r="852">
      <c r="F852" s="64"/>
      <c r="G852" s="83"/>
      <c r="H852" s="66"/>
    </row>
    <row r="853">
      <c r="F853" s="64"/>
      <c r="G853" s="83"/>
      <c r="H853" s="66"/>
    </row>
    <row r="854">
      <c r="F854" s="64"/>
      <c r="G854" s="83"/>
      <c r="H854" s="66"/>
    </row>
    <row r="855">
      <c r="F855" s="64"/>
      <c r="G855" s="83"/>
      <c r="H855" s="66"/>
    </row>
    <row r="856">
      <c r="F856" s="64"/>
      <c r="G856" s="83"/>
      <c r="H856" s="66"/>
    </row>
    <row r="857">
      <c r="F857" s="64"/>
      <c r="G857" s="83"/>
      <c r="H857" s="66"/>
    </row>
    <row r="858">
      <c r="F858" s="64"/>
      <c r="G858" s="83"/>
      <c r="H858" s="66"/>
    </row>
    <row r="859">
      <c r="F859" s="64"/>
      <c r="G859" s="83"/>
      <c r="H859" s="66"/>
    </row>
    <row r="860">
      <c r="F860" s="64"/>
      <c r="G860" s="83"/>
      <c r="H860" s="66"/>
    </row>
    <row r="861">
      <c r="F861" s="64"/>
      <c r="G861" s="83"/>
      <c r="H861" s="66"/>
    </row>
    <row r="862">
      <c r="F862" s="64"/>
      <c r="G862" s="83"/>
      <c r="H862" s="66"/>
    </row>
    <row r="863">
      <c r="F863" s="64"/>
      <c r="G863" s="83"/>
      <c r="H863" s="66"/>
    </row>
    <row r="864">
      <c r="F864" s="64"/>
      <c r="G864" s="83"/>
      <c r="H864" s="66"/>
    </row>
    <row r="865">
      <c r="F865" s="64"/>
      <c r="G865" s="83"/>
      <c r="H865" s="66"/>
    </row>
    <row r="866">
      <c r="F866" s="64"/>
      <c r="G866" s="83"/>
      <c r="H866" s="66"/>
    </row>
    <row r="867">
      <c r="F867" s="64"/>
      <c r="G867" s="83"/>
      <c r="H867" s="66"/>
    </row>
    <row r="868">
      <c r="F868" s="64"/>
      <c r="G868" s="83"/>
      <c r="H868" s="66"/>
    </row>
    <row r="869">
      <c r="F869" s="64"/>
      <c r="G869" s="83"/>
      <c r="H869" s="66"/>
    </row>
    <row r="870">
      <c r="F870" s="64"/>
      <c r="G870" s="83"/>
      <c r="H870" s="66"/>
    </row>
    <row r="871">
      <c r="F871" s="64"/>
      <c r="G871" s="83"/>
      <c r="H871" s="66"/>
    </row>
    <row r="872">
      <c r="F872" s="64"/>
      <c r="G872" s="83"/>
      <c r="H872" s="66"/>
    </row>
    <row r="873">
      <c r="F873" s="64"/>
      <c r="G873" s="83"/>
      <c r="H873" s="66"/>
    </row>
    <row r="874">
      <c r="F874" s="64"/>
      <c r="G874" s="83"/>
      <c r="H874" s="66"/>
    </row>
    <row r="875">
      <c r="F875" s="64"/>
      <c r="G875" s="83"/>
      <c r="H875" s="66"/>
    </row>
    <row r="876">
      <c r="F876" s="64"/>
      <c r="G876" s="83"/>
      <c r="H876" s="66"/>
    </row>
    <row r="877">
      <c r="F877" s="64"/>
      <c r="G877" s="83"/>
      <c r="H877" s="66"/>
    </row>
    <row r="878">
      <c r="F878" s="64"/>
      <c r="G878" s="83"/>
      <c r="H878" s="66"/>
    </row>
    <row r="879">
      <c r="F879" s="64"/>
      <c r="G879" s="83"/>
      <c r="H879" s="66"/>
    </row>
    <row r="880">
      <c r="F880" s="64"/>
      <c r="G880" s="83"/>
      <c r="H880" s="66"/>
    </row>
    <row r="881">
      <c r="F881" s="64"/>
      <c r="G881" s="83"/>
      <c r="H881" s="66"/>
    </row>
    <row r="882">
      <c r="F882" s="64"/>
      <c r="G882" s="83"/>
      <c r="H882" s="66"/>
    </row>
    <row r="883">
      <c r="F883" s="64"/>
      <c r="G883" s="83"/>
      <c r="H883" s="66"/>
    </row>
    <row r="884">
      <c r="F884" s="64"/>
      <c r="G884" s="83"/>
      <c r="H884" s="66"/>
    </row>
    <row r="885">
      <c r="F885" s="64"/>
      <c r="G885" s="83"/>
      <c r="H885" s="66"/>
    </row>
    <row r="886">
      <c r="F886" s="64"/>
      <c r="G886" s="83"/>
      <c r="H886" s="66"/>
    </row>
    <row r="887">
      <c r="F887" s="64"/>
      <c r="G887" s="83"/>
      <c r="H887" s="66"/>
    </row>
    <row r="888">
      <c r="F888" s="64"/>
      <c r="G888" s="83"/>
      <c r="H888" s="66"/>
    </row>
    <row r="889">
      <c r="F889" s="64"/>
      <c r="G889" s="83"/>
      <c r="H889" s="66"/>
    </row>
    <row r="890">
      <c r="F890" s="64"/>
      <c r="G890" s="83"/>
      <c r="H890" s="66"/>
    </row>
    <row r="891">
      <c r="F891" s="64"/>
      <c r="G891" s="83"/>
      <c r="H891" s="66"/>
    </row>
    <row r="892">
      <c r="F892" s="64"/>
      <c r="G892" s="83"/>
      <c r="H892" s="66"/>
    </row>
    <row r="893">
      <c r="F893" s="64"/>
      <c r="G893" s="83"/>
      <c r="H893" s="66"/>
    </row>
    <row r="894">
      <c r="F894" s="64"/>
      <c r="G894" s="83"/>
      <c r="H894" s="66"/>
    </row>
    <row r="895">
      <c r="F895" s="64"/>
      <c r="G895" s="83"/>
      <c r="H895" s="66"/>
    </row>
    <row r="896">
      <c r="F896" s="64"/>
      <c r="G896" s="83"/>
      <c r="H896" s="66"/>
    </row>
    <row r="897">
      <c r="F897" s="64"/>
      <c r="G897" s="83"/>
      <c r="H897" s="66"/>
    </row>
    <row r="898">
      <c r="F898" s="64"/>
      <c r="G898" s="83"/>
      <c r="H898" s="66"/>
    </row>
    <row r="899">
      <c r="F899" s="64"/>
      <c r="G899" s="83"/>
      <c r="H899" s="66"/>
    </row>
    <row r="900">
      <c r="F900" s="64"/>
      <c r="G900" s="83"/>
      <c r="H900" s="66"/>
    </row>
    <row r="901">
      <c r="F901" s="64"/>
      <c r="G901" s="83"/>
      <c r="H901" s="66"/>
    </row>
    <row r="902">
      <c r="F902" s="64"/>
      <c r="G902" s="83"/>
      <c r="H902" s="66"/>
    </row>
    <row r="903">
      <c r="F903" s="64"/>
      <c r="G903" s="83"/>
      <c r="H903" s="66"/>
    </row>
    <row r="904">
      <c r="F904" s="64"/>
      <c r="G904" s="83"/>
      <c r="H904" s="66"/>
    </row>
    <row r="905">
      <c r="F905" s="64"/>
      <c r="G905" s="83"/>
      <c r="H905" s="66"/>
    </row>
    <row r="906">
      <c r="F906" s="64"/>
      <c r="G906" s="83"/>
      <c r="H906" s="66"/>
    </row>
    <row r="907">
      <c r="F907" s="64"/>
      <c r="G907" s="83"/>
      <c r="H907" s="66"/>
    </row>
    <row r="908">
      <c r="F908" s="64"/>
      <c r="G908" s="83"/>
      <c r="H908" s="66"/>
    </row>
    <row r="909">
      <c r="F909" s="64"/>
      <c r="G909" s="83"/>
      <c r="H909" s="66"/>
    </row>
    <row r="910">
      <c r="F910" s="64"/>
      <c r="G910" s="83"/>
      <c r="H910" s="66"/>
    </row>
    <row r="911">
      <c r="F911" s="64"/>
      <c r="G911" s="83"/>
      <c r="H911" s="66"/>
    </row>
    <row r="912">
      <c r="F912" s="64"/>
      <c r="G912" s="83"/>
      <c r="H912" s="66"/>
    </row>
    <row r="913">
      <c r="F913" s="64"/>
      <c r="G913" s="83"/>
      <c r="H913" s="66"/>
    </row>
    <row r="914">
      <c r="F914" s="64"/>
      <c r="G914" s="83"/>
      <c r="H914" s="66"/>
    </row>
    <row r="915">
      <c r="F915" s="64"/>
      <c r="G915" s="83"/>
      <c r="H915" s="66"/>
    </row>
    <row r="916">
      <c r="F916" s="64"/>
      <c r="G916" s="83"/>
      <c r="H916" s="66"/>
    </row>
    <row r="917">
      <c r="F917" s="64"/>
      <c r="G917" s="83"/>
      <c r="H917" s="66"/>
    </row>
    <row r="918">
      <c r="F918" s="64"/>
      <c r="G918" s="83"/>
      <c r="H918" s="66"/>
    </row>
    <row r="919">
      <c r="F919" s="64"/>
      <c r="G919" s="83"/>
      <c r="H919" s="66"/>
    </row>
    <row r="920">
      <c r="F920" s="64"/>
      <c r="G920" s="83"/>
      <c r="H920" s="66"/>
    </row>
    <row r="921">
      <c r="F921" s="64"/>
      <c r="G921" s="83"/>
      <c r="H921" s="66"/>
    </row>
    <row r="922">
      <c r="F922" s="64"/>
      <c r="G922" s="83"/>
      <c r="H922" s="66"/>
    </row>
    <row r="923">
      <c r="F923" s="64"/>
      <c r="G923" s="83"/>
      <c r="H923" s="66"/>
    </row>
    <row r="924">
      <c r="F924" s="64"/>
      <c r="G924" s="83"/>
      <c r="H924" s="66"/>
    </row>
    <row r="925">
      <c r="F925" s="64"/>
      <c r="G925" s="83"/>
      <c r="H925" s="66"/>
    </row>
    <row r="926">
      <c r="F926" s="64"/>
      <c r="G926" s="83"/>
      <c r="H926" s="66"/>
    </row>
    <row r="927">
      <c r="F927" s="64"/>
      <c r="G927" s="83"/>
      <c r="H927" s="66"/>
    </row>
    <row r="928">
      <c r="F928" s="64"/>
      <c r="G928" s="83"/>
      <c r="H928" s="66"/>
    </row>
    <row r="929">
      <c r="F929" s="64"/>
      <c r="G929" s="83"/>
      <c r="H929" s="66"/>
    </row>
    <row r="930">
      <c r="F930" s="64"/>
      <c r="G930" s="83"/>
      <c r="H930" s="66"/>
    </row>
    <row r="931">
      <c r="F931" s="64"/>
      <c r="G931" s="83"/>
      <c r="H931" s="66"/>
    </row>
    <row r="932">
      <c r="F932" s="64"/>
      <c r="G932" s="83"/>
      <c r="H932" s="66"/>
    </row>
    <row r="933">
      <c r="F933" s="64"/>
      <c r="G933" s="83"/>
      <c r="H933" s="66"/>
    </row>
    <row r="934">
      <c r="F934" s="64"/>
      <c r="G934" s="83"/>
      <c r="H934" s="66"/>
    </row>
    <row r="935">
      <c r="F935" s="64"/>
      <c r="G935" s="83"/>
      <c r="H935" s="66"/>
    </row>
    <row r="936">
      <c r="F936" s="64"/>
      <c r="G936" s="83"/>
      <c r="H936" s="66"/>
    </row>
    <row r="937">
      <c r="F937" s="64"/>
      <c r="G937" s="83"/>
      <c r="H937" s="66"/>
    </row>
    <row r="938">
      <c r="F938" s="64"/>
      <c r="G938" s="83"/>
      <c r="H938" s="66"/>
    </row>
    <row r="939">
      <c r="F939" s="64"/>
      <c r="G939" s="83"/>
      <c r="H939" s="66"/>
    </row>
    <row r="940">
      <c r="F940" s="64"/>
      <c r="G940" s="83"/>
      <c r="H940" s="66"/>
    </row>
    <row r="941">
      <c r="F941" s="64"/>
      <c r="G941" s="83"/>
      <c r="H941" s="66"/>
    </row>
    <row r="942">
      <c r="F942" s="64"/>
      <c r="G942" s="83"/>
      <c r="H942" s="66"/>
    </row>
    <row r="943">
      <c r="F943" s="64"/>
      <c r="G943" s="83"/>
      <c r="H943" s="66"/>
    </row>
    <row r="944">
      <c r="F944" s="64"/>
      <c r="G944" s="83"/>
      <c r="H944" s="66"/>
    </row>
    <row r="945">
      <c r="F945" s="64"/>
      <c r="G945" s="83"/>
      <c r="H945" s="66"/>
    </row>
    <row r="946">
      <c r="F946" s="64"/>
      <c r="G946" s="83"/>
      <c r="H946" s="66"/>
    </row>
    <row r="947">
      <c r="F947" s="64"/>
      <c r="G947" s="83"/>
      <c r="H947" s="66"/>
    </row>
    <row r="948">
      <c r="F948" s="64"/>
      <c r="G948" s="83"/>
      <c r="H948" s="66"/>
    </row>
    <row r="949">
      <c r="F949" s="64"/>
      <c r="G949" s="83"/>
      <c r="H949" s="66"/>
    </row>
    <row r="950">
      <c r="F950" s="64"/>
      <c r="G950" s="83"/>
      <c r="H950" s="66"/>
    </row>
    <row r="951">
      <c r="F951" s="64"/>
      <c r="G951" s="83"/>
      <c r="H951" s="66"/>
    </row>
    <row r="952">
      <c r="F952" s="64"/>
      <c r="G952" s="83"/>
      <c r="H952" s="66"/>
    </row>
    <row r="953">
      <c r="F953" s="64"/>
      <c r="G953" s="83"/>
      <c r="H953" s="66"/>
    </row>
    <row r="954">
      <c r="F954" s="64"/>
      <c r="G954" s="83"/>
      <c r="H954" s="66"/>
    </row>
    <row r="955">
      <c r="F955" s="64"/>
      <c r="G955" s="83"/>
      <c r="H955" s="66"/>
    </row>
    <row r="956">
      <c r="F956" s="64"/>
      <c r="G956" s="83"/>
      <c r="H956" s="66"/>
    </row>
    <row r="957">
      <c r="F957" s="64"/>
      <c r="G957" s="83"/>
      <c r="H957" s="66"/>
    </row>
    <row r="958">
      <c r="F958" s="64"/>
      <c r="G958" s="83"/>
      <c r="H958" s="66"/>
    </row>
    <row r="959">
      <c r="F959" s="64"/>
      <c r="G959" s="83"/>
      <c r="H959" s="66"/>
    </row>
    <row r="960">
      <c r="F960" s="64"/>
      <c r="G960" s="83"/>
      <c r="H960" s="66"/>
    </row>
    <row r="961">
      <c r="F961" s="64"/>
      <c r="G961" s="83"/>
      <c r="H961" s="66"/>
    </row>
    <row r="962">
      <c r="F962" s="64"/>
      <c r="G962" s="83"/>
      <c r="H962" s="66"/>
    </row>
    <row r="963">
      <c r="F963" s="64"/>
      <c r="G963" s="83"/>
      <c r="H963" s="66"/>
    </row>
    <row r="964">
      <c r="F964" s="64"/>
      <c r="G964" s="83"/>
      <c r="H964" s="66"/>
    </row>
    <row r="965">
      <c r="F965" s="64"/>
      <c r="G965" s="83"/>
      <c r="H965" s="66"/>
    </row>
    <row r="966">
      <c r="F966" s="64"/>
      <c r="G966" s="83"/>
      <c r="H966" s="66"/>
    </row>
    <row r="967">
      <c r="F967" s="64"/>
      <c r="G967" s="83"/>
      <c r="H967" s="66"/>
    </row>
    <row r="968">
      <c r="F968" s="64"/>
      <c r="G968" s="83"/>
      <c r="H968" s="66"/>
    </row>
    <row r="969">
      <c r="F969" s="64"/>
      <c r="G969" s="83"/>
      <c r="H969" s="66"/>
    </row>
    <row r="970">
      <c r="F970" s="64"/>
      <c r="G970" s="83"/>
      <c r="H970" s="66"/>
    </row>
    <row r="971">
      <c r="F971" s="64"/>
      <c r="G971" s="83"/>
      <c r="H971" s="66"/>
    </row>
    <row r="972">
      <c r="F972" s="64"/>
      <c r="G972" s="83"/>
      <c r="H972" s="66"/>
    </row>
    <row r="973">
      <c r="F973" s="64"/>
      <c r="G973" s="83"/>
      <c r="H973" s="66"/>
    </row>
    <row r="974">
      <c r="F974" s="64"/>
      <c r="G974" s="83"/>
      <c r="H974" s="66"/>
    </row>
    <row r="975">
      <c r="F975" s="64"/>
      <c r="G975" s="83"/>
      <c r="H975" s="66"/>
    </row>
    <row r="976">
      <c r="F976" s="64"/>
      <c r="G976" s="83"/>
      <c r="H976" s="66"/>
    </row>
    <row r="977">
      <c r="F977" s="64"/>
      <c r="G977" s="83"/>
      <c r="H977" s="66"/>
    </row>
    <row r="978">
      <c r="F978" s="64"/>
      <c r="G978" s="83"/>
      <c r="H978" s="66"/>
    </row>
    <row r="979">
      <c r="F979" s="64"/>
      <c r="G979" s="83"/>
      <c r="H979" s="66"/>
    </row>
    <row r="980">
      <c r="F980" s="64"/>
      <c r="G980" s="83"/>
      <c r="H980" s="66"/>
    </row>
    <row r="981">
      <c r="F981" s="64"/>
      <c r="G981" s="83"/>
      <c r="H981" s="66"/>
    </row>
    <row r="982">
      <c r="F982" s="64"/>
      <c r="G982" s="83"/>
      <c r="H982" s="66"/>
    </row>
    <row r="983">
      <c r="F983" s="64"/>
      <c r="G983" s="83"/>
      <c r="H983" s="66"/>
    </row>
    <row r="984">
      <c r="F984" s="64"/>
      <c r="G984" s="83"/>
      <c r="H984" s="66"/>
    </row>
    <row r="985">
      <c r="F985" s="64"/>
      <c r="G985" s="83"/>
      <c r="H985" s="66"/>
    </row>
    <row r="986">
      <c r="F986" s="64"/>
      <c r="G986" s="83"/>
      <c r="H986" s="66"/>
    </row>
    <row r="987">
      <c r="F987" s="64"/>
      <c r="G987" s="83"/>
      <c r="H987" s="66"/>
    </row>
    <row r="988">
      <c r="F988" s="64"/>
      <c r="G988" s="83"/>
      <c r="H988" s="66"/>
    </row>
    <row r="989">
      <c r="F989" s="64"/>
      <c r="G989" s="83"/>
      <c r="H989" s="66"/>
    </row>
    <row r="990">
      <c r="F990" s="64"/>
      <c r="G990" s="83"/>
      <c r="H990" s="66"/>
    </row>
    <row r="991">
      <c r="F991" s="64"/>
      <c r="G991" s="83"/>
      <c r="H991" s="66"/>
    </row>
    <row r="992">
      <c r="F992" s="64"/>
      <c r="G992" s="83"/>
      <c r="H992" s="66"/>
    </row>
    <row r="993">
      <c r="F993" s="64"/>
      <c r="G993" s="83"/>
      <c r="H993" s="66"/>
    </row>
    <row r="994">
      <c r="F994" s="64"/>
      <c r="G994" s="83"/>
      <c r="H994" s="66"/>
    </row>
    <row r="995">
      <c r="F995" s="64"/>
      <c r="G995" s="83"/>
      <c r="H995" s="66"/>
    </row>
    <row r="996">
      <c r="F996" s="64"/>
      <c r="G996" s="83"/>
      <c r="H996" s="66"/>
    </row>
    <row r="997">
      <c r="F997" s="64"/>
      <c r="G997" s="83"/>
      <c r="H997" s="66"/>
    </row>
    <row r="998">
      <c r="F998" s="64"/>
      <c r="G998" s="83"/>
      <c r="H998" s="66"/>
    </row>
    <row r="999">
      <c r="F999" s="64"/>
      <c r="H999" s="66"/>
    </row>
    <row r="1000">
      <c r="F1000" s="64"/>
      <c r="H1000" s="6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1" t="s">
        <v>96</v>
      </c>
      <c r="I1" s="1" t="s">
        <v>97</v>
      </c>
      <c r="J1" s="1"/>
    </row>
    <row r="2">
      <c r="A2" s="39" t="s">
        <v>75</v>
      </c>
      <c r="B2" s="39" t="s">
        <v>98</v>
      </c>
      <c r="C2" s="39">
        <f t="shared" ref="C2:C6" si="1">COUNTIF(I:I,A2)</f>
        <v>1</v>
      </c>
      <c r="D2" s="62">
        <f t="shared" ref="D2:D6" si="2">C2/COUNTA(I$2:I1000)</f>
        <v>0.02564102564</v>
      </c>
      <c r="E2" s="63">
        <v>1.623502877E9</v>
      </c>
      <c r="F2" s="64">
        <f>IFERROR(__xludf.DUMMYFUNCTION("INDEX(SPLIT(E2, char(10)), 0, 1)/86400+date(1970,1,1)"),44359.54255787037)</f>
        <v>44359.54256</v>
      </c>
      <c r="G2" s="65" t="s">
        <v>223</v>
      </c>
      <c r="H2" s="66" t="s">
        <v>224</v>
      </c>
      <c r="I2" s="66" t="s">
        <v>16</v>
      </c>
      <c r="J2" s="39"/>
    </row>
    <row r="3">
      <c r="A3" s="39" t="s">
        <v>14</v>
      </c>
      <c r="B3" s="39" t="s">
        <v>101</v>
      </c>
      <c r="C3" s="39">
        <f t="shared" si="1"/>
        <v>3</v>
      </c>
      <c r="D3" s="62">
        <f t="shared" si="2"/>
        <v>0.07692307692</v>
      </c>
      <c r="E3" s="63">
        <v>1.62350385E9</v>
      </c>
      <c r="F3" s="64">
        <f>IFERROR(__xludf.DUMMYFUNCTION("INDEX(SPLIT(E3, char(10)), 0, 1)/86400+date(1970,1,1)"),44359.553819444445)</f>
        <v>44359.55382</v>
      </c>
      <c r="G3" s="65" t="s">
        <v>225</v>
      </c>
      <c r="H3" s="66" t="s">
        <v>226</v>
      </c>
      <c r="I3" s="66" t="s">
        <v>17</v>
      </c>
      <c r="J3" s="39"/>
    </row>
    <row r="4">
      <c r="A4" s="39" t="s">
        <v>15</v>
      </c>
      <c r="B4" s="39" t="s">
        <v>104</v>
      </c>
      <c r="C4" s="39">
        <f t="shared" si="1"/>
        <v>5</v>
      </c>
      <c r="D4" s="62">
        <f t="shared" si="2"/>
        <v>0.1282051282</v>
      </c>
      <c r="E4" s="63">
        <v>1.623504162E9</v>
      </c>
      <c r="F4" s="64">
        <f>IFERROR(__xludf.DUMMYFUNCTION("INDEX(SPLIT(E4, char(10)), 0, 1)/86400+date(1970,1,1)"),44359.55743055556)</f>
        <v>44359.55743</v>
      </c>
      <c r="G4" s="65" t="s">
        <v>227</v>
      </c>
      <c r="H4" s="66" t="s">
        <v>228</v>
      </c>
      <c r="I4" s="66" t="s">
        <v>17</v>
      </c>
      <c r="J4" s="39"/>
    </row>
    <row r="5">
      <c r="A5" s="39" t="s">
        <v>16</v>
      </c>
      <c r="B5" s="39" t="s">
        <v>107</v>
      </c>
      <c r="C5" s="39">
        <f t="shared" si="1"/>
        <v>8</v>
      </c>
      <c r="D5" s="62">
        <f t="shared" si="2"/>
        <v>0.2051282051</v>
      </c>
      <c r="E5" s="63">
        <v>1.623504254E9</v>
      </c>
      <c r="F5" s="64">
        <f>IFERROR(__xludf.DUMMYFUNCTION("INDEX(SPLIT(E5, char(10)), 0, 1)/86400+date(1970,1,1)"),44359.558495370366)</f>
        <v>44359.5585</v>
      </c>
      <c r="G5" s="65" t="s">
        <v>229</v>
      </c>
      <c r="H5" s="66" t="s">
        <v>230</v>
      </c>
      <c r="I5" s="66" t="s">
        <v>17</v>
      </c>
      <c r="J5" s="39"/>
    </row>
    <row r="6">
      <c r="A6" s="39" t="s">
        <v>17</v>
      </c>
      <c r="B6" s="39" t="s">
        <v>110</v>
      </c>
      <c r="C6" s="39">
        <f t="shared" si="1"/>
        <v>22</v>
      </c>
      <c r="D6" s="62">
        <f t="shared" si="2"/>
        <v>0.5641025641</v>
      </c>
      <c r="E6" s="63">
        <v>1.623504437E9</v>
      </c>
      <c r="F6" s="64">
        <f>IFERROR(__xludf.DUMMYFUNCTION("INDEX(SPLIT(E6, char(10)), 0, 1)/86400+date(1970,1,1)"),44359.56061342593)</f>
        <v>44359.56061</v>
      </c>
      <c r="G6" s="65" t="s">
        <v>231</v>
      </c>
      <c r="H6" s="66" t="s">
        <v>232</v>
      </c>
      <c r="I6" s="66" t="s">
        <v>15</v>
      </c>
    </row>
    <row r="7">
      <c r="B7" s="39" t="s">
        <v>13</v>
      </c>
      <c r="C7" s="67">
        <f t="shared" ref="C7:D7" si="3">SUM(C2:C6)</f>
        <v>39</v>
      </c>
      <c r="D7" s="68">
        <f t="shared" si="3"/>
        <v>1</v>
      </c>
      <c r="E7" s="63">
        <v>1.62350457E9</v>
      </c>
      <c r="F7" s="64">
        <f>IFERROR(__xludf.DUMMYFUNCTION("INDEX(SPLIT(E7, char(10)), 0, 1)/86400+date(1970,1,1)"),44359.56215277778)</f>
        <v>44359.56215</v>
      </c>
      <c r="G7" s="65" t="s">
        <v>233</v>
      </c>
      <c r="H7" s="66" t="s">
        <v>234</v>
      </c>
      <c r="I7" s="66" t="s">
        <v>15</v>
      </c>
    </row>
    <row r="8">
      <c r="A8" s="69"/>
      <c r="B8" s="39" t="s">
        <v>18</v>
      </c>
      <c r="C8" s="55">
        <f t="shared" ref="C8:D8" si="4">SUM(C5:C6)</f>
        <v>30</v>
      </c>
      <c r="D8" s="13">
        <f t="shared" si="4"/>
        <v>0.7692307692</v>
      </c>
      <c r="E8" s="63">
        <v>1.623504705E9</v>
      </c>
      <c r="F8" s="64">
        <f>IFERROR(__xludf.DUMMYFUNCTION("INDEX(SPLIT(E8, char(10)), 0, 1)/86400+date(1970,1,1)"),44359.56371527778)</f>
        <v>44359.56372</v>
      </c>
      <c r="G8" s="65" t="s">
        <v>235</v>
      </c>
      <c r="H8" s="66" t="s">
        <v>236</v>
      </c>
      <c r="I8" s="66" t="s">
        <v>17</v>
      </c>
    </row>
    <row r="9">
      <c r="A9" s="69"/>
      <c r="B9" s="39" t="s">
        <v>47</v>
      </c>
      <c r="C9" s="55">
        <f>SUM(C6:C7)</f>
        <v>61</v>
      </c>
      <c r="D9" s="13">
        <f>SUM(D5:D6) + D2</f>
        <v>0.7948717949</v>
      </c>
      <c r="E9" s="63">
        <v>1.623504831E9</v>
      </c>
      <c r="F9" s="64">
        <f>IFERROR(__xludf.DUMMYFUNCTION("INDEX(SPLIT(E9, char(10)), 0, 1)/86400+date(1970,1,1)"),44359.56517361111)</f>
        <v>44359.56517</v>
      </c>
      <c r="G9" s="65" t="s">
        <v>237</v>
      </c>
      <c r="H9" s="66" t="s">
        <v>238</v>
      </c>
      <c r="I9" s="66" t="s">
        <v>17</v>
      </c>
    </row>
    <row r="10">
      <c r="A10" s="69"/>
      <c r="B10" s="69"/>
      <c r="C10" s="69"/>
      <c r="D10" s="69"/>
      <c r="E10" s="63">
        <v>1.623505394E9</v>
      </c>
      <c r="F10" s="64">
        <f>IFERROR(__xludf.DUMMYFUNCTION("INDEX(SPLIT(E10, char(10)), 0, 1)/86400+date(1970,1,1)"),44359.57168981481)</f>
        <v>44359.57169</v>
      </c>
      <c r="G10" s="65" t="s">
        <v>239</v>
      </c>
      <c r="H10" s="66" t="s">
        <v>240</v>
      </c>
      <c r="I10" s="66" t="s">
        <v>15</v>
      </c>
    </row>
    <row r="11">
      <c r="A11" s="69"/>
      <c r="B11" s="69"/>
      <c r="C11" s="69"/>
      <c r="D11" s="69"/>
      <c r="E11" s="63">
        <v>1.6235055E9</v>
      </c>
      <c r="F11" s="64">
        <f>IFERROR(__xludf.DUMMYFUNCTION("INDEX(SPLIT(E11, char(10)), 0, 1)/86400+date(1970,1,1)"),44359.57291666667)</f>
        <v>44359.57292</v>
      </c>
      <c r="G11" s="65" t="s">
        <v>241</v>
      </c>
      <c r="H11" s="66" t="s">
        <v>242</v>
      </c>
      <c r="I11" s="66" t="s">
        <v>17</v>
      </c>
    </row>
    <row r="12">
      <c r="A12" s="70" t="s">
        <v>123</v>
      </c>
      <c r="B12" s="71" t="s">
        <v>243</v>
      </c>
      <c r="C12" s="72"/>
      <c r="D12" s="72"/>
      <c r="E12" s="63">
        <v>1.623505604E9</v>
      </c>
      <c r="F12" s="64">
        <f>IFERROR(__xludf.DUMMYFUNCTION("INDEX(SPLIT(E12, char(10)), 0, 1)/86400+date(1970,1,1)"),44359.574120370366)</f>
        <v>44359.57412</v>
      </c>
      <c r="G12" s="65" t="s">
        <v>244</v>
      </c>
      <c r="H12" s="66" t="s">
        <v>245</v>
      </c>
      <c r="I12" s="66" t="s">
        <v>17</v>
      </c>
    </row>
    <row r="13">
      <c r="A13" s="70" t="s">
        <v>127</v>
      </c>
      <c r="B13" s="72"/>
      <c r="C13" s="70" t="s">
        <v>91</v>
      </c>
      <c r="D13" s="70" t="s">
        <v>92</v>
      </c>
      <c r="E13" s="63">
        <v>1.623505705E9</v>
      </c>
      <c r="F13" s="64">
        <f>IFERROR(__xludf.DUMMYFUNCTION("INDEX(SPLIT(E13, char(10)), 0, 1)/86400+date(1970,1,1)"),44359.57528935185)</f>
        <v>44359.57529</v>
      </c>
      <c r="G13" s="65" t="s">
        <v>246</v>
      </c>
      <c r="H13" s="66" t="s">
        <v>247</v>
      </c>
      <c r="I13" s="66" t="s">
        <v>17</v>
      </c>
    </row>
    <row r="14">
      <c r="A14" s="5" t="s">
        <v>130</v>
      </c>
      <c r="B14" s="5" t="s">
        <v>131</v>
      </c>
      <c r="C14" s="73">
        <f t="shared" ref="C14:C17" si="5">COUNTIF($A$19:$A1000, A14)</f>
        <v>3</v>
      </c>
      <c r="D14" s="74">
        <f>IFERROR(__xludf.DUMMYFUNCTION("IF(C14, COUNTIF(FILTER($D$20:$D1000, $A$20:$A1000=A14), TRUE)/C14, 0)"),0.6666666666666666)</f>
        <v>0.6666666667</v>
      </c>
      <c r="E14" s="63">
        <v>1.623505801E9</v>
      </c>
      <c r="F14" s="64">
        <f>IFERROR(__xludf.DUMMYFUNCTION("INDEX(SPLIT(E14, char(10)), 0, 1)/86400+date(1970,1,1)"),44359.57640046296)</f>
        <v>44359.5764</v>
      </c>
      <c r="G14" s="65" t="s">
        <v>248</v>
      </c>
      <c r="H14" s="66" t="s">
        <v>249</v>
      </c>
      <c r="I14" s="66" t="s">
        <v>17</v>
      </c>
    </row>
    <row r="15">
      <c r="A15" s="5" t="s">
        <v>6</v>
      </c>
      <c r="B15" s="5" t="s">
        <v>134</v>
      </c>
      <c r="C15" s="73">
        <f t="shared" si="5"/>
        <v>3</v>
      </c>
      <c r="D15" s="74">
        <f>IFERROR(__xludf.DUMMYFUNCTION("IF(C15, COUNTIF(FILTER($D$20:$D1000, $A$20:$A1000=A15), TRUE)/C15, 0)"),0.6666666666666666)</f>
        <v>0.6666666667</v>
      </c>
      <c r="E15" s="63">
        <v>1.62350603E9</v>
      </c>
      <c r="F15" s="64">
        <f>IFERROR(__xludf.DUMMYFUNCTION("INDEX(SPLIT(E15, char(10)), 0, 1)/86400+date(1970,1,1)"),44359.579050925924)</f>
        <v>44359.57905</v>
      </c>
      <c r="G15" s="65" t="s">
        <v>250</v>
      </c>
      <c r="H15" s="66" t="s">
        <v>251</v>
      </c>
      <c r="I15" s="66" t="s">
        <v>75</v>
      </c>
    </row>
    <row r="16">
      <c r="A16" s="5" t="s">
        <v>7</v>
      </c>
      <c r="B16" s="5" t="s">
        <v>137</v>
      </c>
      <c r="C16" s="73">
        <f t="shared" si="5"/>
        <v>4</v>
      </c>
      <c r="D16" s="74">
        <f>IFERROR(__xludf.DUMMYFUNCTION("IF(C16, COUNTIF(FILTER($D$20:$D1000, $A$20:$A1000=A16), TRUE)/C16, 0)"),0.5)</f>
        <v>0.5</v>
      </c>
      <c r="E16" s="63">
        <v>1.623506862E9</v>
      </c>
      <c r="F16" s="64">
        <f>IFERROR(__xludf.DUMMYFUNCTION("INDEX(SPLIT(E16, char(10)), 0, 1)/86400+date(1970,1,1)"),44359.58868055556)</f>
        <v>44359.58868</v>
      </c>
      <c r="G16" s="65" t="s">
        <v>252</v>
      </c>
      <c r="H16" s="66" t="s">
        <v>253</v>
      </c>
      <c r="I16" s="66" t="s">
        <v>16</v>
      </c>
    </row>
    <row r="17">
      <c r="A17" s="5" t="s">
        <v>8</v>
      </c>
      <c r="B17" s="5" t="s">
        <v>79</v>
      </c>
      <c r="C17" s="73">
        <f t="shared" si="5"/>
        <v>4</v>
      </c>
      <c r="D17" s="74">
        <f>IFERROR(__xludf.DUMMYFUNCTION("IF(C17, COUNTIF(FILTER($D$20:$D1000, $A$20:$A1000=A17), TRUE)/C17, 0)"),0.5)</f>
        <v>0.5</v>
      </c>
      <c r="E17" s="63">
        <v>1.623506957E9</v>
      </c>
      <c r="F17" s="64">
        <f>IFERROR(__xludf.DUMMYFUNCTION("INDEX(SPLIT(E17, char(10)), 0, 1)/86400+date(1970,1,1)"),44359.58978009259)</f>
        <v>44359.58978</v>
      </c>
      <c r="G17" s="65" t="s">
        <v>254</v>
      </c>
      <c r="H17" s="66" t="s">
        <v>255</v>
      </c>
      <c r="I17" s="66" t="s">
        <v>17</v>
      </c>
    </row>
    <row r="18">
      <c r="A18" s="72"/>
      <c r="B18" s="70" t="s">
        <v>9</v>
      </c>
      <c r="C18" s="73">
        <f>SUM(C14:C17)</f>
        <v>14</v>
      </c>
      <c r="D18" s="74">
        <f>COUNTIF($D$19:$D1000, TRUE)/SUM($C$14:$C$17)</f>
        <v>0.5714285714</v>
      </c>
      <c r="E18" s="63">
        <v>1.623507222E9</v>
      </c>
      <c r="F18" s="64">
        <f>IFERROR(__xludf.DUMMYFUNCTION("INDEX(SPLIT(E18, char(10)), 0, 1)/86400+date(1970,1,1)"),44359.59284722222)</f>
        <v>44359.59285</v>
      </c>
      <c r="G18" s="65" t="s">
        <v>256</v>
      </c>
      <c r="H18" s="66" t="s">
        <v>257</v>
      </c>
      <c r="I18" s="66" t="s">
        <v>17</v>
      </c>
    </row>
    <row r="19">
      <c r="A19" s="70" t="s">
        <v>97</v>
      </c>
      <c r="B19" s="70" t="s">
        <v>144</v>
      </c>
      <c r="C19" s="70" t="s">
        <v>145</v>
      </c>
      <c r="D19" s="70" t="s">
        <v>146</v>
      </c>
      <c r="E19" s="63">
        <v>1.623507348E9</v>
      </c>
      <c r="F19" s="64">
        <f>IFERROR(__xludf.DUMMYFUNCTION("INDEX(SPLIT(E19, char(10)), 0, 1)/86400+date(1970,1,1)"),44359.594305555554)</f>
        <v>44359.59431</v>
      </c>
      <c r="G19" s="65" t="s">
        <v>258</v>
      </c>
      <c r="H19" s="66" t="s">
        <v>259</v>
      </c>
      <c r="I19" s="66" t="s">
        <v>14</v>
      </c>
    </row>
    <row r="20">
      <c r="A20" s="75" t="s">
        <v>7</v>
      </c>
      <c r="B20" s="75" t="s">
        <v>149</v>
      </c>
      <c r="C20" s="76">
        <v>1.0</v>
      </c>
      <c r="D20" s="78" t="b">
        <v>1</v>
      </c>
      <c r="E20" s="63">
        <v>1.623507454E9</v>
      </c>
      <c r="F20" s="64">
        <f>IFERROR(__xludf.DUMMYFUNCTION("INDEX(SPLIT(E20, char(10)), 0, 1)/86400+date(1970,1,1)"),44359.5955324074)</f>
        <v>44359.59553</v>
      </c>
      <c r="G20" s="65" t="s">
        <v>260</v>
      </c>
      <c r="H20" s="66" t="s">
        <v>261</v>
      </c>
      <c r="I20" s="66" t="s">
        <v>17</v>
      </c>
    </row>
    <row r="21">
      <c r="A21" s="75" t="s">
        <v>6</v>
      </c>
      <c r="B21" s="75" t="s">
        <v>152</v>
      </c>
      <c r="C21" s="76">
        <v>30.0</v>
      </c>
      <c r="D21" s="78" t="b">
        <v>0</v>
      </c>
      <c r="E21" s="63">
        <v>1.623507566E9</v>
      </c>
      <c r="F21" s="64">
        <f>IFERROR(__xludf.DUMMYFUNCTION("INDEX(SPLIT(E21, char(10)), 0, 1)/86400+date(1970,1,1)"),44359.5968287037)</f>
        <v>44359.59683</v>
      </c>
      <c r="G21" s="65" t="s">
        <v>262</v>
      </c>
      <c r="H21" s="66" t="s">
        <v>263</v>
      </c>
      <c r="I21" s="66" t="s">
        <v>17</v>
      </c>
    </row>
    <row r="22">
      <c r="A22" s="75" t="s">
        <v>7</v>
      </c>
      <c r="B22" s="75" t="s">
        <v>155</v>
      </c>
      <c r="C22" s="76">
        <v>45.0</v>
      </c>
      <c r="D22" s="78" t="b">
        <v>0</v>
      </c>
      <c r="E22" s="63">
        <v>1.623507734E9</v>
      </c>
      <c r="F22" s="64">
        <f>IFERROR(__xludf.DUMMYFUNCTION("INDEX(SPLIT(E22, char(10)), 0, 1)/86400+date(1970,1,1)"),44359.598773148144)</f>
        <v>44359.59877</v>
      </c>
      <c r="G22" s="65" t="s">
        <v>264</v>
      </c>
      <c r="H22" s="66" t="s">
        <v>265</v>
      </c>
      <c r="I22" s="66" t="s">
        <v>16</v>
      </c>
    </row>
    <row r="23">
      <c r="A23" s="75" t="s">
        <v>7</v>
      </c>
      <c r="B23" s="75" t="s">
        <v>158</v>
      </c>
      <c r="C23" s="76">
        <v>45.0</v>
      </c>
      <c r="D23" s="78" t="b">
        <v>0</v>
      </c>
      <c r="E23" s="63">
        <v>1.623507876E9</v>
      </c>
      <c r="F23" s="64">
        <f>IFERROR(__xludf.DUMMYFUNCTION("INDEX(SPLIT(E23, char(10)), 0, 1)/86400+date(1970,1,1)"),44359.60041666667)</f>
        <v>44359.60042</v>
      </c>
      <c r="G23" s="65" t="s">
        <v>266</v>
      </c>
      <c r="H23" s="66" t="s">
        <v>267</v>
      </c>
      <c r="I23" s="66" t="s">
        <v>17</v>
      </c>
    </row>
    <row r="24">
      <c r="A24" s="5" t="s">
        <v>6</v>
      </c>
      <c r="B24" s="5" t="s">
        <v>161</v>
      </c>
      <c r="C24" s="76">
        <v>47.0</v>
      </c>
      <c r="D24" s="78" t="b">
        <v>1</v>
      </c>
      <c r="E24" s="63">
        <v>1.623507982E9</v>
      </c>
      <c r="F24" s="64">
        <f>IFERROR(__xludf.DUMMYFUNCTION("INDEX(SPLIT(E24, char(10)), 0, 1)/86400+date(1970,1,1)"),44359.601643518516)</f>
        <v>44359.60164</v>
      </c>
      <c r="G24" s="65" t="s">
        <v>268</v>
      </c>
      <c r="H24" s="66" t="s">
        <v>269</v>
      </c>
      <c r="I24" s="66" t="s">
        <v>16</v>
      </c>
    </row>
    <row r="25">
      <c r="A25" s="75" t="s">
        <v>130</v>
      </c>
      <c r="B25" s="72" t="s">
        <v>164</v>
      </c>
      <c r="C25" s="76">
        <v>49.0</v>
      </c>
      <c r="D25" s="78" t="b">
        <v>0</v>
      </c>
      <c r="E25" s="63">
        <v>1.623508104E9</v>
      </c>
      <c r="F25" s="64">
        <f>IFERROR(__xludf.DUMMYFUNCTION("INDEX(SPLIT(E25, char(10)), 0, 1)/86400+date(1970,1,1)"),44359.603055555555)</f>
        <v>44359.60306</v>
      </c>
      <c r="G25" s="65" t="s">
        <v>270</v>
      </c>
      <c r="H25" s="66" t="s">
        <v>271</v>
      </c>
      <c r="I25" s="66" t="s">
        <v>14</v>
      </c>
    </row>
    <row r="26">
      <c r="A26" s="75" t="s">
        <v>6</v>
      </c>
      <c r="B26" s="72" t="s">
        <v>167</v>
      </c>
      <c r="C26" s="76">
        <v>63.0</v>
      </c>
      <c r="D26" s="78" t="b">
        <v>1</v>
      </c>
      <c r="E26" s="63">
        <v>1.623508235E9</v>
      </c>
      <c r="F26" s="64">
        <f>IFERROR(__xludf.DUMMYFUNCTION("INDEX(SPLIT(E26, char(10)), 0, 1)/86400+date(1970,1,1)"),44359.604571759264)</f>
        <v>44359.60457</v>
      </c>
      <c r="G26" s="65" t="s">
        <v>272</v>
      </c>
      <c r="H26" s="66" t="s">
        <v>273</v>
      </c>
      <c r="I26" s="66" t="s">
        <v>14</v>
      </c>
    </row>
    <row r="27">
      <c r="A27" s="75" t="s">
        <v>8</v>
      </c>
      <c r="B27" s="72" t="s">
        <v>170</v>
      </c>
      <c r="C27" s="76">
        <v>66.0</v>
      </c>
      <c r="D27" s="78" t="b">
        <v>1</v>
      </c>
      <c r="E27" s="63">
        <v>1.623508345E9</v>
      </c>
      <c r="F27" s="64">
        <f>IFERROR(__xludf.DUMMYFUNCTION("INDEX(SPLIT(E27, char(10)), 0, 1)/86400+date(1970,1,1)"),44359.605844907404)</f>
        <v>44359.60584</v>
      </c>
      <c r="G27" s="65" t="s">
        <v>274</v>
      </c>
      <c r="H27" s="66" t="s">
        <v>275</v>
      </c>
      <c r="I27" s="66" t="s">
        <v>16</v>
      </c>
    </row>
    <row r="28">
      <c r="A28" s="75" t="s">
        <v>130</v>
      </c>
      <c r="B28" s="72" t="s">
        <v>161</v>
      </c>
      <c r="C28" s="76">
        <v>74.0</v>
      </c>
      <c r="D28" s="78" t="b">
        <v>1</v>
      </c>
      <c r="E28" s="63">
        <v>1.62350844E9</v>
      </c>
      <c r="F28" s="64">
        <f>IFERROR(__xludf.DUMMYFUNCTION("INDEX(SPLIT(E28, char(10)), 0, 1)/86400+date(1970,1,1)"),44359.606944444444)</f>
        <v>44359.60694</v>
      </c>
      <c r="G28" s="65" t="s">
        <v>276</v>
      </c>
      <c r="H28" s="66" t="s">
        <v>277</v>
      </c>
      <c r="I28" s="66" t="s">
        <v>17</v>
      </c>
    </row>
    <row r="29">
      <c r="A29" s="75" t="s">
        <v>8</v>
      </c>
      <c r="B29" s="72" t="s">
        <v>175</v>
      </c>
      <c r="C29" s="76">
        <v>75.0</v>
      </c>
      <c r="D29" s="78" t="b">
        <v>1</v>
      </c>
      <c r="E29" s="79">
        <v>1.623508536E9</v>
      </c>
      <c r="F29" s="64">
        <f>IFERROR(__xludf.DUMMYFUNCTION("INDEX(SPLIT(E29, char(10)), 0, 1)/86400+date(1970,1,1)"),44359.60805555555)</f>
        <v>44359.60806</v>
      </c>
      <c r="G29" s="65" t="s">
        <v>278</v>
      </c>
      <c r="H29" s="66" t="s">
        <v>279</v>
      </c>
      <c r="I29" s="66" t="s">
        <v>16</v>
      </c>
    </row>
    <row r="30">
      <c r="A30" s="75" t="s">
        <v>8</v>
      </c>
      <c r="B30" s="72" t="s">
        <v>178</v>
      </c>
      <c r="C30" s="76">
        <v>84.0</v>
      </c>
      <c r="D30" s="78" t="b">
        <v>0</v>
      </c>
      <c r="E30" s="80">
        <v>1.623508626E9</v>
      </c>
      <c r="F30" s="64">
        <f>IFERROR(__xludf.DUMMYFUNCTION("INDEX(SPLIT(E30, char(10)), 0, 1)/86400+date(1970,1,1)"),44359.60909722222)</f>
        <v>44359.6091</v>
      </c>
      <c r="G30" s="81" t="s">
        <v>280</v>
      </c>
      <c r="H30" s="66" t="s">
        <v>281</v>
      </c>
      <c r="I30" s="39" t="s">
        <v>17</v>
      </c>
    </row>
    <row r="31">
      <c r="A31" s="75" t="s">
        <v>130</v>
      </c>
      <c r="B31" s="72" t="s">
        <v>181</v>
      </c>
      <c r="C31" s="76">
        <v>85.0</v>
      </c>
      <c r="D31" s="78" t="b">
        <v>1</v>
      </c>
      <c r="E31" s="82">
        <v>1.623508775E9</v>
      </c>
      <c r="F31" s="64">
        <f>IFERROR(__xludf.DUMMYFUNCTION("INDEX(SPLIT(E31, char(10)), 0, 1)/86400+date(1970,1,1)"),44359.610821759255)</f>
        <v>44359.61082</v>
      </c>
      <c r="G31" s="81" t="s">
        <v>282</v>
      </c>
      <c r="H31" s="66" t="s">
        <v>283</v>
      </c>
      <c r="I31" s="39" t="s">
        <v>15</v>
      </c>
    </row>
    <row r="32">
      <c r="A32" s="75" t="s">
        <v>8</v>
      </c>
      <c r="B32" s="72" t="s">
        <v>182</v>
      </c>
      <c r="C32" s="76">
        <v>93.0</v>
      </c>
      <c r="D32" s="78" t="b">
        <v>0</v>
      </c>
      <c r="E32" s="82">
        <v>1.623508891E9</v>
      </c>
      <c r="F32" s="64">
        <f>IFERROR(__xludf.DUMMYFUNCTION("INDEX(SPLIT(E32, char(10)), 0, 1)/86400+date(1970,1,1)"),44359.612164351856)</f>
        <v>44359.61216</v>
      </c>
      <c r="G32" s="81" t="s">
        <v>284</v>
      </c>
      <c r="H32" s="66" t="s">
        <v>285</v>
      </c>
      <c r="I32" s="39" t="s">
        <v>17</v>
      </c>
    </row>
    <row r="33">
      <c r="A33" s="75" t="s">
        <v>7</v>
      </c>
      <c r="B33" s="72" t="s">
        <v>183</v>
      </c>
      <c r="C33" s="76">
        <v>90.0</v>
      </c>
      <c r="D33" s="78" t="b">
        <v>1</v>
      </c>
      <c r="E33" s="82">
        <v>1.623509004E9</v>
      </c>
      <c r="F33" s="64">
        <f>IFERROR(__xludf.DUMMYFUNCTION("INDEX(SPLIT(E33, char(10)), 0, 1)/86400+date(1970,1,1)"),44359.61347222222)</f>
        <v>44359.61347</v>
      </c>
      <c r="G33" s="81" t="s">
        <v>286</v>
      </c>
      <c r="H33" s="66" t="s">
        <v>287</v>
      </c>
      <c r="I33" s="39" t="s">
        <v>17</v>
      </c>
    </row>
    <row r="34">
      <c r="A34" s="75"/>
      <c r="B34" s="72"/>
      <c r="C34" s="76"/>
      <c r="D34" s="77"/>
      <c r="E34" s="82">
        <v>1.623509097E9</v>
      </c>
      <c r="F34" s="64">
        <f>IFERROR(__xludf.DUMMYFUNCTION("INDEX(SPLIT(E34, char(10)), 0, 1)/86400+date(1970,1,1)"),44359.61454861111)</f>
        <v>44359.61455</v>
      </c>
      <c r="G34" s="81" t="s">
        <v>288</v>
      </c>
      <c r="H34" s="66" t="s">
        <v>289</v>
      </c>
      <c r="I34" s="39" t="s">
        <v>17</v>
      </c>
    </row>
    <row r="35">
      <c r="A35" s="75"/>
      <c r="B35" s="72"/>
      <c r="C35" s="76"/>
      <c r="D35" s="77"/>
      <c r="E35" s="82">
        <v>1.623509204E9</v>
      </c>
      <c r="F35" s="64">
        <f>IFERROR(__xludf.DUMMYFUNCTION("INDEX(SPLIT(E35, char(10)), 0, 1)/86400+date(1970,1,1)"),44359.61578703704)</f>
        <v>44359.61579</v>
      </c>
      <c r="G35" s="81" t="s">
        <v>290</v>
      </c>
      <c r="H35" s="66" t="s">
        <v>291</v>
      </c>
      <c r="I35" s="39" t="s">
        <v>16</v>
      </c>
    </row>
    <row r="36">
      <c r="A36" s="75"/>
      <c r="B36" s="72"/>
      <c r="C36" s="76"/>
      <c r="D36" s="77"/>
      <c r="E36" s="82">
        <v>1.62350936E9</v>
      </c>
      <c r="F36" s="64">
        <f>IFERROR(__xludf.DUMMYFUNCTION("INDEX(SPLIT(E36, char(10)), 0, 1)/86400+date(1970,1,1)"),44359.61759259259)</f>
        <v>44359.61759</v>
      </c>
      <c r="G36" s="81" t="s">
        <v>292</v>
      </c>
      <c r="H36" s="66" t="s">
        <v>293</v>
      </c>
      <c r="I36" s="39" t="s">
        <v>17</v>
      </c>
    </row>
    <row r="37">
      <c r="A37" s="75"/>
      <c r="B37" s="72"/>
      <c r="C37" s="76"/>
      <c r="D37" s="77"/>
      <c r="E37" s="82">
        <v>1.623509453E9</v>
      </c>
      <c r="F37" s="64">
        <f>IFERROR(__xludf.DUMMYFUNCTION("INDEX(SPLIT(E37, char(10)), 0, 1)/86400+date(1970,1,1)"),44359.61866898148)</f>
        <v>44359.61867</v>
      </c>
      <c r="G37" s="81" t="s">
        <v>294</v>
      </c>
      <c r="H37" s="66" t="s">
        <v>295</v>
      </c>
      <c r="I37" s="39" t="s">
        <v>17</v>
      </c>
    </row>
    <row r="38">
      <c r="A38" s="75"/>
      <c r="B38" s="72"/>
      <c r="C38" s="76"/>
      <c r="D38" s="77"/>
      <c r="E38" s="82">
        <v>1.623509561E9</v>
      </c>
      <c r="F38" s="64">
        <f>IFERROR(__xludf.DUMMYFUNCTION("INDEX(SPLIT(E38, char(10)), 0, 1)/86400+date(1970,1,1)"),44359.61991898148)</f>
        <v>44359.61992</v>
      </c>
      <c r="G38" s="81" t="s">
        <v>296</v>
      </c>
      <c r="H38" s="66" t="s">
        <v>297</v>
      </c>
      <c r="I38" s="39" t="s">
        <v>15</v>
      </c>
    </row>
    <row r="39">
      <c r="A39" s="75"/>
      <c r="B39" s="72"/>
      <c r="C39" s="76"/>
      <c r="D39" s="77"/>
      <c r="E39" s="82">
        <v>1.623509725E9</v>
      </c>
      <c r="F39" s="64">
        <f>IFERROR(__xludf.DUMMYFUNCTION("INDEX(SPLIT(E39, char(10)), 0, 1)/86400+date(1970,1,1)"),44359.621817129635)</f>
        <v>44359.62182</v>
      </c>
      <c r="G39" s="81" t="s">
        <v>298</v>
      </c>
      <c r="H39" s="66" t="s">
        <v>299</v>
      </c>
      <c r="I39" s="39" t="s">
        <v>17</v>
      </c>
    </row>
    <row r="40">
      <c r="A40" s="75"/>
      <c r="B40" s="72"/>
      <c r="C40" s="76"/>
      <c r="D40" s="77"/>
      <c r="E40" s="82">
        <v>1.623509871E9</v>
      </c>
      <c r="F40" s="64">
        <f>IFERROR(__xludf.DUMMYFUNCTION("INDEX(SPLIT(E40, char(10)), 0, 1)/86400+date(1970,1,1)"),44359.623506944445)</f>
        <v>44359.62351</v>
      </c>
      <c r="G40" s="81" t="s">
        <v>300</v>
      </c>
      <c r="H40" s="66" t="s">
        <v>301</v>
      </c>
      <c r="I40" s="39" t="s">
        <v>16</v>
      </c>
    </row>
    <row r="41">
      <c r="A41" s="75"/>
      <c r="B41" s="72"/>
      <c r="C41" s="76"/>
      <c r="D41" s="77"/>
      <c r="E41" s="82"/>
      <c r="F41" s="64"/>
      <c r="G41" s="81"/>
      <c r="H41" s="66"/>
      <c r="I41" s="40"/>
    </row>
    <row r="42">
      <c r="A42" s="75"/>
      <c r="B42" s="72"/>
      <c r="C42" s="76"/>
      <c r="D42" s="78"/>
      <c r="E42" s="82"/>
      <c r="F42" s="64"/>
      <c r="G42" s="81"/>
      <c r="H42" s="66"/>
      <c r="I42" s="40"/>
    </row>
    <row r="43">
      <c r="F43" s="64"/>
      <c r="G43" s="81"/>
      <c r="H43" s="66"/>
      <c r="I43" s="40"/>
    </row>
    <row r="44">
      <c r="F44" s="64"/>
      <c r="G44" s="81"/>
      <c r="H44" s="66"/>
      <c r="I44" s="40"/>
    </row>
    <row r="45">
      <c r="F45" s="64"/>
      <c r="G45" s="81"/>
      <c r="H45" s="66"/>
      <c r="I45" s="40"/>
    </row>
    <row r="46">
      <c r="F46" s="64"/>
      <c r="G46" s="81"/>
      <c r="H46" s="66"/>
      <c r="I46" s="40"/>
    </row>
    <row r="47">
      <c r="F47" s="64"/>
      <c r="G47" s="81"/>
      <c r="H47" s="66"/>
      <c r="I47" s="40"/>
    </row>
    <row r="48">
      <c r="F48" s="64"/>
      <c r="G48" s="81"/>
      <c r="H48" s="66"/>
      <c r="I48" s="40"/>
    </row>
    <row r="49">
      <c r="F49" s="64"/>
      <c r="G49" s="81"/>
      <c r="H49" s="66"/>
      <c r="I49" s="40"/>
    </row>
    <row r="50">
      <c r="F50" s="64"/>
      <c r="G50" s="81"/>
      <c r="H50" s="66"/>
      <c r="I50" s="40"/>
    </row>
    <row r="51">
      <c r="F51" s="64"/>
      <c r="G51" s="81"/>
      <c r="H51" s="66"/>
      <c r="I51" s="40"/>
    </row>
    <row r="52">
      <c r="F52" s="64"/>
      <c r="G52" s="83"/>
      <c r="H52" s="66"/>
    </row>
    <row r="53">
      <c r="F53" s="64"/>
      <c r="G53" s="83"/>
      <c r="H53" s="66"/>
    </row>
    <row r="54">
      <c r="F54" s="64"/>
      <c r="G54" s="83"/>
      <c r="H54" s="66"/>
    </row>
    <row r="55">
      <c r="F55" s="64"/>
      <c r="G55" s="83"/>
      <c r="H55" s="66"/>
    </row>
    <row r="56">
      <c r="F56" s="64"/>
      <c r="G56" s="83"/>
      <c r="H56" s="66"/>
    </row>
    <row r="57">
      <c r="F57" s="64"/>
      <c r="G57" s="83"/>
      <c r="H57" s="66"/>
    </row>
    <row r="58">
      <c r="F58" s="64"/>
      <c r="G58" s="83"/>
      <c r="H58" s="66"/>
    </row>
    <row r="59">
      <c r="F59" s="64"/>
      <c r="G59" s="83"/>
      <c r="H59" s="66"/>
    </row>
    <row r="60">
      <c r="F60" s="64"/>
      <c r="G60" s="83"/>
      <c r="H60" s="66"/>
    </row>
    <row r="61">
      <c r="F61" s="64"/>
      <c r="G61" s="83"/>
      <c r="H61" s="66"/>
    </row>
    <row r="62">
      <c r="F62" s="64"/>
      <c r="G62" s="83"/>
      <c r="H62" s="66"/>
    </row>
    <row r="63">
      <c r="F63" s="64"/>
      <c r="G63" s="83"/>
      <c r="H63" s="66"/>
    </row>
    <row r="64">
      <c r="F64" s="64"/>
      <c r="G64" s="83"/>
      <c r="H64" s="66"/>
    </row>
    <row r="65">
      <c r="F65" s="64"/>
      <c r="G65" s="83"/>
      <c r="H65" s="66"/>
    </row>
    <row r="66">
      <c r="F66" s="64"/>
      <c r="G66" s="83"/>
      <c r="H66" s="66"/>
    </row>
    <row r="67">
      <c r="F67" s="64"/>
      <c r="G67" s="83"/>
      <c r="H67" s="66"/>
    </row>
    <row r="68">
      <c r="F68" s="64"/>
      <c r="G68" s="83"/>
      <c r="H68" s="66"/>
    </row>
    <row r="69">
      <c r="F69" s="64"/>
      <c r="G69" s="83"/>
      <c r="H69" s="66"/>
    </row>
    <row r="70">
      <c r="F70" s="64"/>
      <c r="G70" s="83"/>
      <c r="H70" s="66"/>
    </row>
    <row r="71">
      <c r="F71" s="64"/>
      <c r="G71" s="83"/>
      <c r="H71" s="66"/>
    </row>
    <row r="72">
      <c r="F72" s="64"/>
      <c r="G72" s="83"/>
      <c r="H72" s="66"/>
    </row>
    <row r="73">
      <c r="F73" s="64"/>
      <c r="G73" s="83"/>
      <c r="H73" s="66"/>
    </row>
    <row r="74">
      <c r="F74" s="64"/>
      <c r="G74" s="83"/>
      <c r="H74" s="66"/>
    </row>
    <row r="75">
      <c r="F75" s="64"/>
      <c r="G75" s="83"/>
      <c r="H75" s="66"/>
    </row>
    <row r="76">
      <c r="F76" s="64"/>
      <c r="G76" s="83"/>
      <c r="H76" s="66"/>
    </row>
    <row r="77">
      <c r="F77" s="64"/>
      <c r="G77" s="83"/>
      <c r="H77" s="66"/>
    </row>
    <row r="78">
      <c r="F78" s="64"/>
      <c r="G78" s="83"/>
      <c r="H78" s="66"/>
    </row>
    <row r="79">
      <c r="F79" s="64"/>
      <c r="G79" s="83"/>
      <c r="H79" s="66"/>
    </row>
    <row r="80">
      <c r="F80" s="64"/>
      <c r="G80" s="83"/>
      <c r="H80" s="66"/>
    </row>
    <row r="81">
      <c r="F81" s="64"/>
      <c r="G81" s="83"/>
      <c r="H81" s="66"/>
    </row>
    <row r="82">
      <c r="F82" s="64"/>
      <c r="G82" s="83"/>
      <c r="H82" s="66"/>
    </row>
    <row r="83">
      <c r="F83" s="64"/>
      <c r="G83" s="83"/>
      <c r="H83" s="66"/>
    </row>
    <row r="84">
      <c r="F84" s="64"/>
      <c r="G84" s="83"/>
      <c r="H84" s="66"/>
    </row>
    <row r="85">
      <c r="F85" s="64"/>
      <c r="G85" s="83"/>
      <c r="H85" s="66"/>
    </row>
    <row r="86">
      <c r="F86" s="64"/>
      <c r="G86" s="83"/>
      <c r="H86" s="66"/>
    </row>
    <row r="87">
      <c r="F87" s="64"/>
      <c r="G87" s="83"/>
      <c r="H87" s="66"/>
    </row>
    <row r="88">
      <c r="F88" s="64"/>
      <c r="G88" s="83"/>
      <c r="H88" s="66"/>
    </row>
    <row r="89">
      <c r="F89" s="64"/>
      <c r="G89" s="83"/>
      <c r="H89" s="66"/>
    </row>
    <row r="90">
      <c r="F90" s="64"/>
      <c r="G90" s="83"/>
      <c r="H90" s="66"/>
    </row>
    <row r="91">
      <c r="F91" s="64"/>
      <c r="G91" s="83"/>
      <c r="H91" s="66"/>
    </row>
    <row r="92">
      <c r="F92" s="64"/>
      <c r="G92" s="83"/>
      <c r="H92" s="66"/>
    </row>
    <row r="93">
      <c r="F93" s="64"/>
      <c r="G93" s="83"/>
      <c r="H93" s="66"/>
    </row>
    <row r="94">
      <c r="F94" s="64"/>
      <c r="G94" s="83"/>
      <c r="H94" s="66"/>
    </row>
    <row r="95">
      <c r="F95" s="64"/>
      <c r="G95" s="83"/>
      <c r="H95" s="66"/>
    </row>
    <row r="96">
      <c r="F96" s="64"/>
      <c r="G96" s="83"/>
      <c r="H96" s="66"/>
    </row>
    <row r="97">
      <c r="F97" s="64"/>
      <c r="G97" s="83"/>
      <c r="H97" s="66"/>
    </row>
    <row r="98">
      <c r="F98" s="64"/>
      <c r="G98" s="83"/>
      <c r="H98" s="66"/>
    </row>
    <row r="99">
      <c r="F99" s="64"/>
      <c r="G99" s="83"/>
      <c r="H99" s="66"/>
    </row>
    <row r="100">
      <c r="F100" s="64"/>
      <c r="G100" s="83"/>
      <c r="H100" s="66"/>
    </row>
    <row r="101">
      <c r="F101" s="64"/>
      <c r="G101" s="83"/>
      <c r="H101" s="66"/>
    </row>
    <row r="102">
      <c r="F102" s="64"/>
      <c r="G102" s="83"/>
      <c r="H102" s="66"/>
    </row>
    <row r="103">
      <c r="F103" s="64"/>
      <c r="G103" s="83"/>
      <c r="H103" s="66"/>
    </row>
    <row r="104">
      <c r="F104" s="64"/>
      <c r="G104" s="83"/>
      <c r="H104" s="66"/>
    </row>
    <row r="105">
      <c r="F105" s="64"/>
      <c r="G105" s="83"/>
      <c r="H105" s="66"/>
    </row>
    <row r="106">
      <c r="F106" s="64"/>
      <c r="G106" s="83"/>
      <c r="H106" s="66"/>
    </row>
    <row r="107">
      <c r="F107" s="64"/>
      <c r="G107" s="83"/>
      <c r="H107" s="66"/>
    </row>
    <row r="108">
      <c r="F108" s="64"/>
      <c r="G108" s="83"/>
      <c r="H108" s="66"/>
    </row>
    <row r="109">
      <c r="F109" s="64"/>
      <c r="G109" s="83"/>
      <c r="H109" s="66"/>
    </row>
    <row r="110">
      <c r="F110" s="64"/>
      <c r="G110" s="83"/>
      <c r="H110" s="66"/>
    </row>
    <row r="111">
      <c r="F111" s="64"/>
      <c r="G111" s="83"/>
      <c r="H111" s="66"/>
    </row>
    <row r="112">
      <c r="F112" s="64"/>
      <c r="G112" s="83"/>
      <c r="H112" s="66"/>
    </row>
    <row r="113">
      <c r="F113" s="64"/>
      <c r="G113" s="83"/>
      <c r="H113" s="66"/>
    </row>
    <row r="114">
      <c r="F114" s="64"/>
      <c r="G114" s="83"/>
      <c r="H114" s="66"/>
    </row>
    <row r="115">
      <c r="F115" s="64"/>
      <c r="G115" s="83"/>
      <c r="H115" s="66"/>
    </row>
    <row r="116">
      <c r="F116" s="64"/>
      <c r="G116" s="83"/>
      <c r="H116" s="66"/>
    </row>
    <row r="117">
      <c r="F117" s="64"/>
      <c r="G117" s="83"/>
      <c r="H117" s="66"/>
    </row>
    <row r="118">
      <c r="F118" s="64"/>
      <c r="G118" s="83"/>
      <c r="H118" s="66"/>
    </row>
    <row r="119">
      <c r="F119" s="64"/>
      <c r="G119" s="83"/>
      <c r="H119" s="66"/>
    </row>
    <row r="120">
      <c r="F120" s="64"/>
      <c r="G120" s="83"/>
      <c r="H120" s="66"/>
    </row>
    <row r="121">
      <c r="F121" s="64"/>
      <c r="G121" s="83"/>
      <c r="H121" s="66"/>
    </row>
    <row r="122">
      <c r="F122" s="64"/>
      <c r="G122" s="83"/>
      <c r="H122" s="66"/>
    </row>
    <row r="123">
      <c r="F123" s="64"/>
      <c r="G123" s="83"/>
      <c r="H123" s="66"/>
    </row>
    <row r="124">
      <c r="F124" s="64"/>
      <c r="G124" s="83"/>
      <c r="H124" s="66"/>
    </row>
    <row r="125">
      <c r="F125" s="64"/>
      <c r="G125" s="83"/>
      <c r="H125" s="66"/>
    </row>
    <row r="126">
      <c r="F126" s="64"/>
      <c r="G126" s="83"/>
      <c r="H126" s="66"/>
    </row>
    <row r="127">
      <c r="F127" s="64"/>
      <c r="G127" s="83"/>
      <c r="H127" s="66"/>
    </row>
    <row r="128">
      <c r="F128" s="64"/>
      <c r="G128" s="83"/>
      <c r="H128" s="66"/>
    </row>
    <row r="129">
      <c r="F129" s="64"/>
      <c r="G129" s="83"/>
      <c r="H129" s="66"/>
    </row>
    <row r="130">
      <c r="F130" s="64"/>
      <c r="G130" s="83"/>
      <c r="H130" s="66"/>
    </row>
    <row r="131">
      <c r="F131" s="64"/>
      <c r="G131" s="83"/>
      <c r="H131" s="66"/>
    </row>
    <row r="132">
      <c r="F132" s="64"/>
      <c r="G132" s="83"/>
      <c r="H132" s="66"/>
    </row>
    <row r="133">
      <c r="F133" s="64"/>
      <c r="G133" s="83"/>
      <c r="H133" s="66"/>
    </row>
    <row r="134">
      <c r="F134" s="64"/>
      <c r="G134" s="83"/>
      <c r="H134" s="66"/>
    </row>
    <row r="135">
      <c r="F135" s="64"/>
      <c r="G135" s="83"/>
      <c r="H135" s="66"/>
    </row>
    <row r="136">
      <c r="F136" s="64"/>
      <c r="G136" s="83"/>
      <c r="H136" s="66"/>
    </row>
    <row r="137">
      <c r="F137" s="64"/>
      <c r="G137" s="83"/>
      <c r="H137" s="66"/>
    </row>
    <row r="138">
      <c r="F138" s="64"/>
      <c r="G138" s="83"/>
      <c r="H138" s="66"/>
    </row>
    <row r="139">
      <c r="F139" s="64"/>
      <c r="G139" s="83"/>
      <c r="H139" s="66"/>
    </row>
    <row r="140">
      <c r="F140" s="64"/>
      <c r="G140" s="83"/>
      <c r="H140" s="66"/>
    </row>
    <row r="141">
      <c r="F141" s="64"/>
      <c r="G141" s="83"/>
      <c r="H141" s="66"/>
    </row>
    <row r="142">
      <c r="F142" s="64"/>
      <c r="G142" s="83"/>
      <c r="H142" s="66"/>
    </row>
    <row r="143">
      <c r="F143" s="64"/>
      <c r="G143" s="83"/>
      <c r="H143" s="66"/>
    </row>
    <row r="144">
      <c r="F144" s="64"/>
      <c r="G144" s="83"/>
      <c r="H144" s="66"/>
    </row>
    <row r="145">
      <c r="F145" s="64"/>
      <c r="G145" s="83"/>
      <c r="H145" s="66"/>
    </row>
    <row r="146">
      <c r="F146" s="64"/>
      <c r="G146" s="83"/>
      <c r="H146" s="66"/>
    </row>
    <row r="147">
      <c r="F147" s="64"/>
      <c r="G147" s="83"/>
      <c r="H147" s="66"/>
    </row>
    <row r="148">
      <c r="F148" s="64"/>
      <c r="G148" s="83"/>
      <c r="H148" s="66"/>
    </row>
    <row r="149">
      <c r="F149" s="64"/>
      <c r="G149" s="83"/>
      <c r="H149" s="66"/>
    </row>
    <row r="150">
      <c r="F150" s="64"/>
      <c r="G150" s="83"/>
      <c r="H150" s="66"/>
    </row>
    <row r="151">
      <c r="F151" s="64"/>
      <c r="G151" s="83"/>
      <c r="H151" s="66"/>
    </row>
    <row r="152">
      <c r="F152" s="64"/>
      <c r="G152" s="83"/>
      <c r="H152" s="66"/>
    </row>
    <row r="153">
      <c r="F153" s="64"/>
      <c r="G153" s="83"/>
      <c r="H153" s="66"/>
    </row>
    <row r="154">
      <c r="F154" s="64"/>
      <c r="G154" s="83"/>
      <c r="H154" s="66"/>
    </row>
    <row r="155">
      <c r="F155" s="64"/>
      <c r="G155" s="83"/>
      <c r="H155" s="66"/>
    </row>
    <row r="156">
      <c r="F156" s="64"/>
      <c r="G156" s="83"/>
      <c r="H156" s="66"/>
    </row>
    <row r="157">
      <c r="F157" s="64"/>
      <c r="G157" s="83"/>
      <c r="H157" s="66"/>
    </row>
    <row r="158">
      <c r="F158" s="64"/>
      <c r="G158" s="83"/>
      <c r="H158" s="66"/>
    </row>
    <row r="159">
      <c r="F159" s="64"/>
      <c r="G159" s="83"/>
      <c r="H159" s="66"/>
    </row>
    <row r="160">
      <c r="F160" s="64"/>
      <c r="G160" s="83"/>
      <c r="H160" s="66"/>
    </row>
    <row r="161">
      <c r="F161" s="64"/>
      <c r="G161" s="83"/>
      <c r="H161" s="66"/>
    </row>
    <row r="162">
      <c r="F162" s="64"/>
      <c r="G162" s="83"/>
      <c r="H162" s="66"/>
    </row>
    <row r="163">
      <c r="F163" s="64"/>
      <c r="G163" s="83"/>
      <c r="H163" s="66"/>
    </row>
    <row r="164">
      <c r="F164" s="64"/>
      <c r="G164" s="83"/>
      <c r="H164" s="66"/>
    </row>
    <row r="165">
      <c r="F165" s="64"/>
      <c r="G165" s="83"/>
      <c r="H165" s="66"/>
    </row>
    <row r="166">
      <c r="F166" s="64"/>
      <c r="G166" s="83"/>
      <c r="H166" s="66"/>
    </row>
    <row r="167">
      <c r="F167" s="64"/>
      <c r="G167" s="83"/>
      <c r="H167" s="66"/>
    </row>
    <row r="168">
      <c r="F168" s="64"/>
      <c r="G168" s="83"/>
      <c r="H168" s="66"/>
    </row>
    <row r="169">
      <c r="F169" s="64"/>
      <c r="G169" s="83"/>
      <c r="H169" s="66"/>
    </row>
    <row r="170">
      <c r="F170" s="64"/>
      <c r="G170" s="83"/>
      <c r="H170" s="66"/>
    </row>
    <row r="171">
      <c r="F171" s="64"/>
      <c r="G171" s="83"/>
      <c r="H171" s="66"/>
    </row>
    <row r="172">
      <c r="F172" s="64"/>
      <c r="G172" s="83"/>
      <c r="H172" s="66"/>
    </row>
    <row r="173">
      <c r="F173" s="64"/>
      <c r="G173" s="83"/>
      <c r="H173" s="66"/>
    </row>
    <row r="174">
      <c r="F174" s="64"/>
      <c r="G174" s="83"/>
      <c r="H174" s="66"/>
    </row>
    <row r="175">
      <c r="F175" s="64"/>
      <c r="G175" s="83"/>
      <c r="H175" s="66"/>
    </row>
    <row r="176">
      <c r="F176" s="64"/>
      <c r="G176" s="83"/>
      <c r="H176" s="66"/>
    </row>
    <row r="177">
      <c r="F177" s="64"/>
      <c r="G177" s="83"/>
      <c r="H177" s="66"/>
    </row>
    <row r="178">
      <c r="F178" s="64"/>
      <c r="G178" s="83"/>
      <c r="H178" s="66"/>
    </row>
    <row r="179">
      <c r="F179" s="64"/>
      <c r="G179" s="83"/>
      <c r="H179" s="66"/>
    </row>
    <row r="180">
      <c r="F180" s="64"/>
      <c r="G180" s="83"/>
      <c r="H180" s="66"/>
    </row>
    <row r="181">
      <c r="F181" s="64"/>
      <c r="G181" s="83"/>
      <c r="H181" s="66"/>
    </row>
    <row r="182">
      <c r="F182" s="64"/>
      <c r="G182" s="83"/>
      <c r="H182" s="66"/>
    </row>
    <row r="183">
      <c r="F183" s="64"/>
      <c r="G183" s="83"/>
      <c r="H183" s="66"/>
    </row>
    <row r="184">
      <c r="F184" s="64"/>
      <c r="G184" s="83"/>
      <c r="H184" s="66"/>
    </row>
    <row r="185">
      <c r="F185" s="64"/>
      <c r="G185" s="83"/>
      <c r="H185" s="66"/>
    </row>
    <row r="186">
      <c r="F186" s="64"/>
      <c r="G186" s="83"/>
      <c r="H186" s="66"/>
    </row>
    <row r="187">
      <c r="F187" s="64"/>
      <c r="G187" s="83"/>
      <c r="H187" s="66"/>
    </row>
    <row r="188">
      <c r="F188" s="64"/>
      <c r="G188" s="83"/>
      <c r="H188" s="66"/>
    </row>
    <row r="189">
      <c r="F189" s="64"/>
      <c r="G189" s="83"/>
      <c r="H189" s="66"/>
    </row>
    <row r="190">
      <c r="F190" s="64"/>
      <c r="G190" s="83"/>
      <c r="H190" s="66"/>
    </row>
    <row r="191">
      <c r="F191" s="64"/>
      <c r="G191" s="83"/>
      <c r="H191" s="66"/>
    </row>
    <row r="192">
      <c r="F192" s="64"/>
      <c r="G192" s="83"/>
      <c r="H192" s="66"/>
    </row>
    <row r="193">
      <c r="F193" s="64"/>
      <c r="G193" s="83"/>
      <c r="H193" s="66"/>
    </row>
    <row r="194">
      <c r="F194" s="64"/>
      <c r="G194" s="83"/>
      <c r="H194" s="66"/>
    </row>
    <row r="195">
      <c r="F195" s="64"/>
      <c r="G195" s="83"/>
      <c r="H195" s="66"/>
    </row>
    <row r="196">
      <c r="F196" s="64"/>
      <c r="G196" s="83"/>
      <c r="H196" s="66"/>
    </row>
    <row r="197">
      <c r="F197" s="64"/>
      <c r="G197" s="83"/>
      <c r="H197" s="66"/>
    </row>
    <row r="198">
      <c r="F198" s="64"/>
      <c r="G198" s="83"/>
      <c r="H198" s="66"/>
    </row>
    <row r="199">
      <c r="F199" s="64"/>
      <c r="G199" s="83"/>
      <c r="H199" s="66"/>
    </row>
    <row r="200">
      <c r="F200" s="64"/>
      <c r="G200" s="83"/>
      <c r="H200" s="66"/>
    </row>
    <row r="201">
      <c r="F201" s="64"/>
      <c r="G201" s="83"/>
      <c r="H201" s="66"/>
    </row>
    <row r="202">
      <c r="F202" s="64"/>
      <c r="G202" s="83"/>
      <c r="H202" s="66"/>
    </row>
    <row r="203">
      <c r="F203" s="64"/>
      <c r="G203" s="83"/>
      <c r="H203" s="66"/>
    </row>
    <row r="204">
      <c r="F204" s="64"/>
      <c r="G204" s="83"/>
      <c r="H204" s="66"/>
    </row>
    <row r="205">
      <c r="F205" s="64"/>
      <c r="G205" s="83"/>
      <c r="H205" s="66"/>
    </row>
    <row r="206">
      <c r="F206" s="64"/>
      <c r="G206" s="83"/>
      <c r="H206" s="66"/>
    </row>
    <row r="207">
      <c r="F207" s="64"/>
      <c r="G207" s="83"/>
      <c r="H207" s="66"/>
    </row>
    <row r="208">
      <c r="F208" s="64"/>
      <c r="G208" s="83"/>
      <c r="H208" s="66"/>
    </row>
    <row r="209">
      <c r="F209" s="64"/>
      <c r="G209" s="83"/>
      <c r="H209" s="66"/>
    </row>
    <row r="210">
      <c r="F210" s="64"/>
      <c r="G210" s="83"/>
      <c r="H210" s="66"/>
    </row>
    <row r="211">
      <c r="F211" s="64"/>
      <c r="G211" s="83"/>
      <c r="H211" s="66"/>
    </row>
    <row r="212">
      <c r="F212" s="64"/>
      <c r="G212" s="83"/>
      <c r="H212" s="66"/>
    </row>
    <row r="213">
      <c r="F213" s="64"/>
      <c r="G213" s="83"/>
      <c r="H213" s="66"/>
    </row>
    <row r="214">
      <c r="F214" s="64"/>
      <c r="G214" s="83"/>
      <c r="H214" s="66"/>
    </row>
    <row r="215">
      <c r="F215" s="64"/>
      <c r="G215" s="83"/>
      <c r="H215" s="66"/>
    </row>
    <row r="216">
      <c r="F216" s="64"/>
      <c r="G216" s="83"/>
      <c r="H216" s="66"/>
    </row>
    <row r="217">
      <c r="F217" s="64"/>
      <c r="G217" s="83"/>
      <c r="H217" s="66"/>
    </row>
    <row r="218">
      <c r="F218" s="64"/>
      <c r="G218" s="83"/>
      <c r="H218" s="66"/>
    </row>
    <row r="219">
      <c r="F219" s="64"/>
      <c r="G219" s="83"/>
      <c r="H219" s="66"/>
    </row>
    <row r="220">
      <c r="F220" s="64"/>
      <c r="G220" s="83"/>
      <c r="H220" s="66"/>
    </row>
    <row r="221">
      <c r="F221" s="64"/>
      <c r="G221" s="83"/>
      <c r="H221" s="66"/>
    </row>
    <row r="222">
      <c r="F222" s="64"/>
      <c r="G222" s="83"/>
      <c r="H222" s="66"/>
    </row>
    <row r="223">
      <c r="F223" s="64"/>
      <c r="G223" s="83"/>
      <c r="H223" s="66"/>
    </row>
    <row r="224">
      <c r="F224" s="64"/>
      <c r="G224" s="83"/>
      <c r="H224" s="66"/>
    </row>
    <row r="225">
      <c r="F225" s="64"/>
      <c r="G225" s="83"/>
      <c r="H225" s="66"/>
    </row>
    <row r="226">
      <c r="F226" s="64"/>
      <c r="G226" s="83"/>
      <c r="H226" s="66"/>
    </row>
    <row r="227">
      <c r="F227" s="64"/>
      <c r="G227" s="83"/>
      <c r="H227" s="66"/>
    </row>
    <row r="228">
      <c r="F228" s="64"/>
      <c r="G228" s="83"/>
      <c r="H228" s="66"/>
    </row>
    <row r="229">
      <c r="F229" s="64"/>
      <c r="G229" s="83"/>
      <c r="H229" s="66"/>
    </row>
    <row r="230">
      <c r="F230" s="64"/>
      <c r="G230" s="83"/>
      <c r="H230" s="66"/>
    </row>
    <row r="231">
      <c r="F231" s="64"/>
      <c r="G231" s="83"/>
      <c r="H231" s="66"/>
    </row>
    <row r="232">
      <c r="F232" s="64"/>
      <c r="G232" s="83"/>
      <c r="H232" s="66"/>
    </row>
    <row r="233">
      <c r="F233" s="64"/>
      <c r="G233" s="83"/>
      <c r="H233" s="66"/>
    </row>
    <row r="234">
      <c r="F234" s="64"/>
      <c r="G234" s="83"/>
      <c r="H234" s="66"/>
    </row>
    <row r="235">
      <c r="F235" s="64"/>
      <c r="G235" s="83"/>
      <c r="H235" s="66"/>
    </row>
    <row r="236">
      <c r="F236" s="64"/>
      <c r="G236" s="83"/>
      <c r="H236" s="66"/>
    </row>
    <row r="237">
      <c r="F237" s="64"/>
      <c r="G237" s="83"/>
      <c r="H237" s="66"/>
    </row>
    <row r="238">
      <c r="F238" s="64"/>
      <c r="G238" s="83"/>
      <c r="H238" s="66"/>
    </row>
    <row r="239">
      <c r="F239" s="64"/>
      <c r="G239" s="83"/>
      <c r="H239" s="66"/>
    </row>
    <row r="240">
      <c r="F240" s="64"/>
      <c r="G240" s="83"/>
      <c r="H240" s="66"/>
    </row>
    <row r="241">
      <c r="F241" s="64"/>
      <c r="G241" s="83"/>
      <c r="H241" s="66"/>
    </row>
    <row r="242">
      <c r="F242" s="64"/>
      <c r="G242" s="83"/>
      <c r="H242" s="66"/>
    </row>
    <row r="243">
      <c r="F243" s="64"/>
      <c r="G243" s="83"/>
      <c r="H243" s="66"/>
    </row>
    <row r="244">
      <c r="F244" s="64"/>
      <c r="G244" s="83"/>
      <c r="H244" s="66"/>
    </row>
    <row r="245">
      <c r="F245" s="64"/>
      <c r="G245" s="83"/>
      <c r="H245" s="66"/>
    </row>
    <row r="246">
      <c r="F246" s="64"/>
      <c r="G246" s="83"/>
      <c r="H246" s="66"/>
    </row>
    <row r="247">
      <c r="F247" s="64"/>
      <c r="G247" s="83"/>
      <c r="H247" s="66"/>
    </row>
    <row r="248">
      <c r="F248" s="64"/>
      <c r="G248" s="83"/>
      <c r="H248" s="66"/>
    </row>
    <row r="249">
      <c r="F249" s="64"/>
      <c r="G249" s="83"/>
      <c r="H249" s="66"/>
    </row>
    <row r="250">
      <c r="F250" s="64"/>
      <c r="G250" s="83"/>
      <c r="H250" s="66"/>
    </row>
    <row r="251">
      <c r="F251" s="64"/>
      <c r="G251" s="83"/>
      <c r="H251" s="66"/>
    </row>
    <row r="252">
      <c r="F252" s="64"/>
      <c r="G252" s="83"/>
      <c r="H252" s="66"/>
    </row>
    <row r="253">
      <c r="F253" s="64"/>
      <c r="G253" s="83"/>
      <c r="H253" s="66"/>
    </row>
    <row r="254">
      <c r="F254" s="64"/>
      <c r="G254" s="83"/>
      <c r="H254" s="66"/>
    </row>
    <row r="255">
      <c r="F255" s="64"/>
      <c r="G255" s="83"/>
      <c r="H255" s="66"/>
    </row>
    <row r="256">
      <c r="F256" s="64"/>
      <c r="G256" s="83"/>
      <c r="H256" s="66"/>
    </row>
    <row r="257">
      <c r="F257" s="64"/>
      <c r="G257" s="83"/>
      <c r="H257" s="66"/>
    </row>
    <row r="258">
      <c r="F258" s="64"/>
      <c r="G258" s="83"/>
      <c r="H258" s="66"/>
    </row>
    <row r="259">
      <c r="F259" s="64"/>
      <c r="G259" s="83"/>
      <c r="H259" s="66"/>
    </row>
    <row r="260">
      <c r="F260" s="64"/>
      <c r="G260" s="83"/>
      <c r="H260" s="66"/>
    </row>
    <row r="261">
      <c r="F261" s="64"/>
      <c r="G261" s="83"/>
      <c r="H261" s="66"/>
    </row>
    <row r="262">
      <c r="F262" s="64"/>
      <c r="G262" s="83"/>
      <c r="H262" s="66"/>
    </row>
    <row r="263">
      <c r="F263" s="64"/>
      <c r="G263" s="83"/>
      <c r="H263" s="66"/>
    </row>
    <row r="264">
      <c r="F264" s="64"/>
      <c r="G264" s="83"/>
      <c r="H264" s="66"/>
    </row>
    <row r="265">
      <c r="F265" s="64"/>
      <c r="G265" s="83"/>
      <c r="H265" s="66"/>
    </row>
    <row r="266">
      <c r="F266" s="64"/>
      <c r="G266" s="83"/>
      <c r="H266" s="66"/>
    </row>
    <row r="267">
      <c r="F267" s="64"/>
      <c r="G267" s="83"/>
      <c r="H267" s="66"/>
    </row>
    <row r="268">
      <c r="F268" s="64"/>
      <c r="G268" s="83"/>
      <c r="H268" s="66"/>
    </row>
    <row r="269">
      <c r="F269" s="64"/>
      <c r="G269" s="83"/>
      <c r="H269" s="66"/>
    </row>
    <row r="270">
      <c r="F270" s="64"/>
      <c r="G270" s="83"/>
      <c r="H270" s="66"/>
    </row>
    <row r="271">
      <c r="F271" s="64"/>
      <c r="G271" s="83"/>
      <c r="H271" s="66"/>
    </row>
    <row r="272">
      <c r="F272" s="64"/>
      <c r="G272" s="83"/>
      <c r="H272" s="66"/>
    </row>
    <row r="273">
      <c r="F273" s="64"/>
      <c r="G273" s="83"/>
      <c r="H273" s="66"/>
    </row>
    <row r="274">
      <c r="F274" s="64"/>
      <c r="G274" s="83"/>
      <c r="H274" s="66"/>
    </row>
    <row r="275">
      <c r="F275" s="64"/>
      <c r="G275" s="83"/>
      <c r="H275" s="66"/>
    </row>
    <row r="276">
      <c r="F276" s="64"/>
      <c r="G276" s="83"/>
      <c r="H276" s="66"/>
    </row>
    <row r="277">
      <c r="F277" s="64"/>
      <c r="G277" s="83"/>
      <c r="H277" s="66"/>
    </row>
    <row r="278">
      <c r="F278" s="64"/>
      <c r="G278" s="83"/>
      <c r="H278" s="66"/>
    </row>
    <row r="279">
      <c r="F279" s="64"/>
      <c r="G279" s="83"/>
      <c r="H279" s="66"/>
    </row>
    <row r="280">
      <c r="F280" s="64"/>
      <c r="G280" s="83"/>
      <c r="H280" s="66"/>
    </row>
    <row r="281">
      <c r="F281" s="64"/>
      <c r="G281" s="83"/>
      <c r="H281" s="66"/>
    </row>
    <row r="282">
      <c r="F282" s="64"/>
      <c r="G282" s="83"/>
      <c r="H282" s="66"/>
    </row>
    <row r="283">
      <c r="F283" s="64"/>
      <c r="G283" s="83"/>
      <c r="H283" s="66"/>
    </row>
    <row r="284">
      <c r="F284" s="64"/>
      <c r="G284" s="83"/>
      <c r="H284" s="66"/>
    </row>
    <row r="285">
      <c r="F285" s="64"/>
      <c r="G285" s="83"/>
      <c r="H285" s="66"/>
    </row>
    <row r="286">
      <c r="F286" s="64"/>
      <c r="G286" s="83"/>
      <c r="H286" s="66"/>
    </row>
    <row r="287">
      <c r="F287" s="64"/>
      <c r="G287" s="83"/>
      <c r="H287" s="66"/>
    </row>
    <row r="288">
      <c r="F288" s="64"/>
      <c r="G288" s="83"/>
      <c r="H288" s="66"/>
    </row>
    <row r="289">
      <c r="F289" s="64"/>
      <c r="G289" s="83"/>
      <c r="H289" s="66"/>
    </row>
    <row r="290">
      <c r="F290" s="64"/>
      <c r="G290" s="83"/>
      <c r="H290" s="66"/>
    </row>
    <row r="291">
      <c r="F291" s="64"/>
      <c r="G291" s="83"/>
      <c r="H291" s="66"/>
    </row>
    <row r="292">
      <c r="F292" s="64"/>
      <c r="G292" s="83"/>
      <c r="H292" s="66"/>
    </row>
    <row r="293">
      <c r="F293" s="64"/>
      <c r="G293" s="83"/>
      <c r="H293" s="66"/>
    </row>
    <row r="294">
      <c r="F294" s="64"/>
      <c r="G294" s="83"/>
      <c r="H294" s="66"/>
    </row>
    <row r="295">
      <c r="F295" s="64"/>
      <c r="G295" s="83"/>
      <c r="H295" s="66"/>
    </row>
    <row r="296">
      <c r="F296" s="64"/>
      <c r="G296" s="83"/>
      <c r="H296" s="66"/>
    </row>
    <row r="297">
      <c r="F297" s="64"/>
      <c r="G297" s="83"/>
      <c r="H297" s="66"/>
    </row>
    <row r="298">
      <c r="F298" s="64"/>
      <c r="G298" s="83"/>
      <c r="H298" s="66"/>
    </row>
    <row r="299">
      <c r="F299" s="64"/>
      <c r="G299" s="83"/>
      <c r="H299" s="66"/>
    </row>
    <row r="300">
      <c r="F300" s="64"/>
      <c r="G300" s="83"/>
      <c r="H300" s="66"/>
    </row>
    <row r="301">
      <c r="F301" s="64"/>
      <c r="G301" s="83"/>
      <c r="H301" s="66"/>
    </row>
    <row r="302">
      <c r="F302" s="64"/>
      <c r="G302" s="83"/>
      <c r="H302" s="66"/>
    </row>
    <row r="303">
      <c r="F303" s="64"/>
      <c r="G303" s="83"/>
      <c r="H303" s="66"/>
    </row>
    <row r="304">
      <c r="F304" s="64"/>
      <c r="G304" s="83"/>
      <c r="H304" s="66"/>
    </row>
    <row r="305">
      <c r="F305" s="64"/>
      <c r="G305" s="83"/>
      <c r="H305" s="66"/>
    </row>
    <row r="306">
      <c r="F306" s="64"/>
      <c r="G306" s="83"/>
      <c r="H306" s="66"/>
    </row>
    <row r="307">
      <c r="F307" s="64"/>
      <c r="G307" s="83"/>
      <c r="H307" s="66"/>
    </row>
    <row r="308">
      <c r="F308" s="64"/>
      <c r="G308" s="83"/>
      <c r="H308" s="66"/>
    </row>
    <row r="309">
      <c r="F309" s="64"/>
      <c r="G309" s="83"/>
      <c r="H309" s="66"/>
    </row>
    <row r="310">
      <c r="F310" s="64"/>
      <c r="G310" s="83"/>
      <c r="H310" s="66"/>
    </row>
    <row r="311">
      <c r="F311" s="64"/>
      <c r="G311" s="83"/>
      <c r="H311" s="66"/>
    </row>
    <row r="312">
      <c r="F312" s="64"/>
      <c r="G312" s="83"/>
      <c r="H312" s="66"/>
    </row>
    <row r="313">
      <c r="F313" s="64"/>
      <c r="G313" s="83"/>
      <c r="H313" s="66"/>
    </row>
    <row r="314">
      <c r="F314" s="64"/>
      <c r="G314" s="83"/>
      <c r="H314" s="66"/>
    </row>
    <row r="315">
      <c r="F315" s="64"/>
      <c r="G315" s="83"/>
      <c r="H315" s="66"/>
    </row>
    <row r="316">
      <c r="F316" s="64"/>
      <c r="G316" s="83"/>
      <c r="H316" s="66"/>
    </row>
    <row r="317">
      <c r="F317" s="64"/>
      <c r="G317" s="83"/>
      <c r="H317" s="66"/>
    </row>
    <row r="318">
      <c r="F318" s="64"/>
      <c r="G318" s="83"/>
      <c r="H318" s="66"/>
    </row>
    <row r="319">
      <c r="F319" s="64"/>
      <c r="G319" s="83"/>
      <c r="H319" s="66"/>
    </row>
    <row r="320">
      <c r="F320" s="64"/>
      <c r="G320" s="83"/>
      <c r="H320" s="66"/>
    </row>
    <row r="321">
      <c r="F321" s="64"/>
      <c r="G321" s="83"/>
      <c r="H321" s="66"/>
    </row>
    <row r="322">
      <c r="F322" s="64"/>
      <c r="G322" s="83"/>
      <c r="H322" s="66"/>
    </row>
    <row r="323">
      <c r="F323" s="64"/>
      <c r="G323" s="83"/>
      <c r="H323" s="66"/>
    </row>
    <row r="324">
      <c r="F324" s="64"/>
      <c r="G324" s="83"/>
      <c r="H324" s="66"/>
    </row>
    <row r="325">
      <c r="F325" s="64"/>
      <c r="G325" s="83"/>
      <c r="H325" s="66"/>
    </row>
    <row r="326">
      <c r="F326" s="64"/>
      <c r="G326" s="83"/>
      <c r="H326" s="66"/>
    </row>
    <row r="327">
      <c r="F327" s="64"/>
      <c r="G327" s="83"/>
      <c r="H327" s="66"/>
    </row>
    <row r="328">
      <c r="F328" s="64"/>
      <c r="G328" s="83"/>
      <c r="H328" s="66"/>
    </row>
    <row r="329">
      <c r="F329" s="64"/>
      <c r="G329" s="83"/>
      <c r="H329" s="66"/>
    </row>
    <row r="330">
      <c r="F330" s="64"/>
      <c r="G330" s="83"/>
      <c r="H330" s="66"/>
    </row>
    <row r="331">
      <c r="F331" s="64"/>
      <c r="G331" s="83"/>
      <c r="H331" s="66"/>
    </row>
    <row r="332">
      <c r="F332" s="64"/>
      <c r="G332" s="83"/>
      <c r="H332" s="66"/>
    </row>
    <row r="333">
      <c r="F333" s="64"/>
      <c r="G333" s="83"/>
      <c r="H333" s="66"/>
    </row>
    <row r="334">
      <c r="F334" s="64"/>
      <c r="G334" s="83"/>
      <c r="H334" s="66"/>
    </row>
    <row r="335">
      <c r="F335" s="64"/>
      <c r="G335" s="83"/>
      <c r="H335" s="66"/>
    </row>
    <row r="336">
      <c r="F336" s="64"/>
      <c r="G336" s="83"/>
      <c r="H336" s="66"/>
    </row>
    <row r="337">
      <c r="F337" s="64"/>
      <c r="G337" s="83"/>
      <c r="H337" s="66"/>
    </row>
    <row r="338">
      <c r="F338" s="64"/>
      <c r="G338" s="83"/>
      <c r="H338" s="66"/>
    </row>
    <row r="339">
      <c r="F339" s="64"/>
      <c r="G339" s="83"/>
      <c r="H339" s="66"/>
    </row>
    <row r="340">
      <c r="F340" s="64"/>
      <c r="G340" s="83"/>
      <c r="H340" s="66"/>
    </row>
    <row r="341">
      <c r="F341" s="64"/>
      <c r="G341" s="83"/>
      <c r="H341" s="66"/>
    </row>
    <row r="342">
      <c r="F342" s="64"/>
      <c r="G342" s="83"/>
      <c r="H342" s="66"/>
    </row>
    <row r="343">
      <c r="F343" s="64"/>
      <c r="G343" s="83"/>
      <c r="H343" s="66"/>
    </row>
    <row r="344">
      <c r="F344" s="64"/>
      <c r="G344" s="83"/>
      <c r="H344" s="66"/>
    </row>
    <row r="345">
      <c r="F345" s="64"/>
      <c r="G345" s="83"/>
      <c r="H345" s="66"/>
    </row>
    <row r="346">
      <c r="F346" s="64"/>
      <c r="G346" s="83"/>
      <c r="H346" s="66"/>
    </row>
    <row r="347">
      <c r="F347" s="64"/>
      <c r="G347" s="83"/>
      <c r="H347" s="66"/>
    </row>
    <row r="348">
      <c r="F348" s="64"/>
      <c r="G348" s="83"/>
      <c r="H348" s="66"/>
    </row>
    <row r="349">
      <c r="F349" s="64"/>
      <c r="G349" s="83"/>
      <c r="H349" s="66"/>
    </row>
    <row r="350">
      <c r="F350" s="64"/>
      <c r="G350" s="83"/>
      <c r="H350" s="66"/>
    </row>
    <row r="351">
      <c r="F351" s="64"/>
      <c r="G351" s="83"/>
      <c r="H351" s="66"/>
    </row>
    <row r="352">
      <c r="F352" s="64"/>
      <c r="G352" s="83"/>
      <c r="H352" s="66"/>
    </row>
    <row r="353">
      <c r="F353" s="64"/>
      <c r="G353" s="83"/>
      <c r="H353" s="66"/>
    </row>
    <row r="354">
      <c r="F354" s="64"/>
      <c r="G354" s="83"/>
      <c r="H354" s="66"/>
    </row>
    <row r="355">
      <c r="F355" s="64"/>
      <c r="G355" s="83"/>
      <c r="H355" s="66"/>
    </row>
    <row r="356">
      <c r="F356" s="64"/>
      <c r="G356" s="83"/>
      <c r="H356" s="66"/>
    </row>
    <row r="357">
      <c r="F357" s="64"/>
      <c r="G357" s="83"/>
      <c r="H357" s="66"/>
    </row>
    <row r="358">
      <c r="F358" s="64"/>
      <c r="G358" s="83"/>
      <c r="H358" s="66"/>
    </row>
    <row r="359">
      <c r="F359" s="64"/>
      <c r="G359" s="83"/>
      <c r="H359" s="66"/>
    </row>
    <row r="360">
      <c r="F360" s="64"/>
      <c r="G360" s="83"/>
      <c r="H360" s="66"/>
    </row>
    <row r="361">
      <c r="F361" s="64"/>
      <c r="G361" s="83"/>
      <c r="H361" s="66"/>
    </row>
    <row r="362">
      <c r="F362" s="64"/>
      <c r="G362" s="83"/>
      <c r="H362" s="66"/>
    </row>
    <row r="363">
      <c r="F363" s="64"/>
      <c r="G363" s="83"/>
      <c r="H363" s="66"/>
    </row>
    <row r="364">
      <c r="F364" s="64"/>
      <c r="G364" s="83"/>
      <c r="H364" s="66"/>
    </row>
    <row r="365">
      <c r="F365" s="64"/>
      <c r="G365" s="83"/>
      <c r="H365" s="66"/>
    </row>
    <row r="366">
      <c r="F366" s="64"/>
      <c r="G366" s="83"/>
      <c r="H366" s="66"/>
    </row>
    <row r="367">
      <c r="F367" s="64"/>
      <c r="G367" s="83"/>
      <c r="H367" s="66"/>
    </row>
    <row r="368">
      <c r="F368" s="64"/>
      <c r="G368" s="83"/>
      <c r="H368" s="66"/>
    </row>
    <row r="369">
      <c r="F369" s="64"/>
      <c r="G369" s="83"/>
      <c r="H369" s="66"/>
    </row>
    <row r="370">
      <c r="F370" s="64"/>
      <c r="G370" s="83"/>
      <c r="H370" s="66"/>
    </row>
    <row r="371">
      <c r="F371" s="64"/>
      <c r="G371" s="83"/>
      <c r="H371" s="66"/>
    </row>
    <row r="372">
      <c r="F372" s="64"/>
      <c r="G372" s="83"/>
      <c r="H372" s="66"/>
    </row>
    <row r="373">
      <c r="F373" s="64"/>
      <c r="G373" s="83"/>
      <c r="H373" s="66"/>
    </row>
    <row r="374">
      <c r="F374" s="64"/>
      <c r="G374" s="83"/>
      <c r="H374" s="66"/>
    </row>
    <row r="375">
      <c r="F375" s="64"/>
      <c r="G375" s="83"/>
      <c r="H375" s="66"/>
    </row>
    <row r="376">
      <c r="F376" s="64"/>
      <c r="G376" s="83"/>
      <c r="H376" s="66"/>
    </row>
    <row r="377">
      <c r="F377" s="64"/>
      <c r="G377" s="83"/>
      <c r="H377" s="66"/>
    </row>
    <row r="378">
      <c r="F378" s="64"/>
      <c r="G378" s="83"/>
      <c r="H378" s="66"/>
    </row>
    <row r="379">
      <c r="F379" s="64"/>
      <c r="G379" s="83"/>
      <c r="H379" s="66"/>
    </row>
    <row r="380">
      <c r="F380" s="64"/>
      <c r="G380" s="83"/>
      <c r="H380" s="66"/>
    </row>
    <row r="381">
      <c r="F381" s="64"/>
      <c r="G381" s="83"/>
      <c r="H381" s="66"/>
    </row>
    <row r="382">
      <c r="F382" s="64"/>
      <c r="G382" s="83"/>
      <c r="H382" s="66"/>
    </row>
    <row r="383">
      <c r="F383" s="64"/>
      <c r="G383" s="83"/>
      <c r="H383" s="66"/>
    </row>
    <row r="384">
      <c r="F384" s="64"/>
      <c r="G384" s="83"/>
      <c r="H384" s="66"/>
    </row>
    <row r="385">
      <c r="F385" s="64"/>
      <c r="G385" s="83"/>
      <c r="H385" s="66"/>
    </row>
    <row r="386">
      <c r="F386" s="64"/>
      <c r="G386" s="83"/>
      <c r="H386" s="66"/>
    </row>
    <row r="387">
      <c r="F387" s="64"/>
      <c r="G387" s="83"/>
      <c r="H387" s="66"/>
    </row>
    <row r="388">
      <c r="F388" s="64"/>
      <c r="G388" s="83"/>
      <c r="H388" s="66"/>
    </row>
    <row r="389">
      <c r="F389" s="64"/>
      <c r="G389" s="83"/>
      <c r="H389" s="66"/>
    </row>
    <row r="390">
      <c r="F390" s="64"/>
      <c r="G390" s="83"/>
      <c r="H390" s="66"/>
    </row>
    <row r="391">
      <c r="F391" s="64"/>
      <c r="G391" s="83"/>
      <c r="H391" s="66"/>
    </row>
    <row r="392">
      <c r="F392" s="64"/>
      <c r="G392" s="83"/>
      <c r="H392" s="66"/>
    </row>
    <row r="393">
      <c r="F393" s="64"/>
      <c r="G393" s="83"/>
      <c r="H393" s="66"/>
    </row>
    <row r="394">
      <c r="F394" s="64"/>
      <c r="G394" s="83"/>
      <c r="H394" s="66"/>
    </row>
    <row r="395">
      <c r="F395" s="64"/>
      <c r="G395" s="83"/>
      <c r="H395" s="66"/>
    </row>
    <row r="396">
      <c r="F396" s="64"/>
      <c r="G396" s="83"/>
      <c r="H396" s="66"/>
    </row>
    <row r="397">
      <c r="F397" s="64"/>
      <c r="G397" s="83"/>
      <c r="H397" s="66"/>
    </row>
    <row r="398">
      <c r="F398" s="64"/>
      <c r="G398" s="83"/>
      <c r="H398" s="66"/>
    </row>
    <row r="399">
      <c r="F399" s="64"/>
      <c r="G399" s="83"/>
      <c r="H399" s="66"/>
    </row>
    <row r="400">
      <c r="F400" s="64"/>
      <c r="G400" s="83"/>
      <c r="H400" s="66"/>
    </row>
    <row r="401">
      <c r="F401" s="64"/>
      <c r="G401" s="83"/>
      <c r="H401" s="66"/>
    </row>
    <row r="402">
      <c r="F402" s="64"/>
      <c r="G402" s="83"/>
      <c r="H402" s="66"/>
    </row>
    <row r="403">
      <c r="F403" s="64"/>
      <c r="G403" s="83"/>
      <c r="H403" s="66"/>
    </row>
    <row r="404">
      <c r="F404" s="64"/>
      <c r="G404" s="83"/>
      <c r="H404" s="66"/>
    </row>
    <row r="405">
      <c r="F405" s="64"/>
      <c r="G405" s="83"/>
      <c r="H405" s="66"/>
    </row>
    <row r="406">
      <c r="F406" s="64"/>
      <c r="G406" s="83"/>
      <c r="H406" s="66"/>
    </row>
    <row r="407">
      <c r="F407" s="64"/>
      <c r="G407" s="83"/>
      <c r="H407" s="66"/>
    </row>
    <row r="408">
      <c r="F408" s="64"/>
      <c r="G408" s="83"/>
      <c r="H408" s="66"/>
    </row>
    <row r="409">
      <c r="F409" s="64"/>
      <c r="G409" s="83"/>
      <c r="H409" s="66"/>
    </row>
    <row r="410">
      <c r="F410" s="64"/>
      <c r="G410" s="83"/>
      <c r="H410" s="66"/>
    </row>
    <row r="411">
      <c r="F411" s="64"/>
      <c r="G411" s="83"/>
      <c r="H411" s="66"/>
    </row>
    <row r="412">
      <c r="F412" s="64"/>
      <c r="G412" s="83"/>
      <c r="H412" s="66"/>
    </row>
    <row r="413">
      <c r="F413" s="64"/>
      <c r="G413" s="83"/>
      <c r="H413" s="66"/>
    </row>
    <row r="414">
      <c r="F414" s="64"/>
      <c r="G414" s="83"/>
      <c r="H414" s="66"/>
    </row>
    <row r="415">
      <c r="F415" s="64"/>
      <c r="G415" s="83"/>
      <c r="H415" s="66"/>
    </row>
    <row r="416">
      <c r="F416" s="64"/>
      <c r="G416" s="83"/>
      <c r="H416" s="66"/>
    </row>
    <row r="417">
      <c r="F417" s="64"/>
      <c r="G417" s="83"/>
      <c r="H417" s="66"/>
    </row>
    <row r="418">
      <c r="F418" s="64"/>
      <c r="G418" s="83"/>
      <c r="H418" s="66"/>
    </row>
    <row r="419">
      <c r="F419" s="64"/>
      <c r="G419" s="83"/>
      <c r="H419" s="66"/>
    </row>
    <row r="420">
      <c r="F420" s="64"/>
      <c r="G420" s="83"/>
      <c r="H420" s="66"/>
    </row>
    <row r="421">
      <c r="F421" s="64"/>
      <c r="G421" s="83"/>
      <c r="H421" s="66"/>
    </row>
    <row r="422">
      <c r="F422" s="64"/>
      <c r="G422" s="83"/>
      <c r="H422" s="66"/>
    </row>
    <row r="423">
      <c r="F423" s="64"/>
      <c r="G423" s="83"/>
      <c r="H423" s="66"/>
    </row>
    <row r="424">
      <c r="F424" s="64"/>
      <c r="G424" s="83"/>
      <c r="H424" s="66"/>
    </row>
    <row r="425">
      <c r="F425" s="64"/>
      <c r="G425" s="83"/>
      <c r="H425" s="66"/>
    </row>
    <row r="426">
      <c r="F426" s="64"/>
      <c r="G426" s="83"/>
      <c r="H426" s="66"/>
    </row>
    <row r="427">
      <c r="F427" s="64"/>
      <c r="G427" s="83"/>
      <c r="H427" s="66"/>
    </row>
    <row r="428">
      <c r="F428" s="64"/>
      <c r="G428" s="83"/>
      <c r="H428" s="66"/>
    </row>
    <row r="429">
      <c r="F429" s="64"/>
      <c r="G429" s="83"/>
      <c r="H429" s="66"/>
    </row>
    <row r="430">
      <c r="F430" s="64"/>
      <c r="G430" s="83"/>
      <c r="H430" s="66"/>
    </row>
    <row r="431">
      <c r="F431" s="64"/>
      <c r="G431" s="83"/>
      <c r="H431" s="66"/>
    </row>
    <row r="432">
      <c r="F432" s="64"/>
      <c r="G432" s="83"/>
      <c r="H432" s="66"/>
    </row>
    <row r="433">
      <c r="F433" s="64"/>
      <c r="G433" s="83"/>
      <c r="H433" s="66"/>
    </row>
    <row r="434">
      <c r="F434" s="64"/>
      <c r="G434" s="83"/>
      <c r="H434" s="66"/>
    </row>
    <row r="435">
      <c r="F435" s="64"/>
      <c r="G435" s="83"/>
      <c r="H435" s="66"/>
    </row>
    <row r="436">
      <c r="F436" s="64"/>
      <c r="G436" s="83"/>
      <c r="H436" s="66"/>
    </row>
    <row r="437">
      <c r="F437" s="64"/>
      <c r="G437" s="83"/>
      <c r="H437" s="66"/>
    </row>
    <row r="438">
      <c r="F438" s="64"/>
      <c r="G438" s="83"/>
      <c r="H438" s="66"/>
    </row>
    <row r="439">
      <c r="F439" s="64"/>
      <c r="G439" s="83"/>
      <c r="H439" s="66"/>
    </row>
    <row r="440">
      <c r="F440" s="64"/>
      <c r="G440" s="83"/>
      <c r="H440" s="66"/>
    </row>
    <row r="441">
      <c r="F441" s="64"/>
      <c r="G441" s="83"/>
      <c r="H441" s="66"/>
    </row>
    <row r="442">
      <c r="F442" s="64"/>
      <c r="G442" s="83"/>
      <c r="H442" s="66"/>
    </row>
    <row r="443">
      <c r="F443" s="64"/>
      <c r="G443" s="83"/>
      <c r="H443" s="66"/>
    </row>
    <row r="444">
      <c r="F444" s="64"/>
      <c r="G444" s="83"/>
      <c r="H444" s="66"/>
    </row>
    <row r="445">
      <c r="F445" s="64"/>
      <c r="G445" s="83"/>
      <c r="H445" s="66"/>
    </row>
    <row r="446">
      <c r="F446" s="64"/>
      <c r="G446" s="83"/>
      <c r="H446" s="66"/>
    </row>
    <row r="447">
      <c r="F447" s="64"/>
      <c r="G447" s="83"/>
      <c r="H447" s="66"/>
    </row>
    <row r="448">
      <c r="F448" s="64"/>
      <c r="G448" s="83"/>
      <c r="H448" s="66"/>
    </row>
    <row r="449">
      <c r="F449" s="64"/>
      <c r="G449" s="83"/>
      <c r="H449" s="66"/>
    </row>
    <row r="450">
      <c r="F450" s="64"/>
      <c r="G450" s="83"/>
      <c r="H450" s="66"/>
    </row>
    <row r="451">
      <c r="F451" s="64"/>
      <c r="G451" s="83"/>
      <c r="H451" s="66"/>
    </row>
    <row r="452">
      <c r="F452" s="64"/>
      <c r="G452" s="83"/>
      <c r="H452" s="66"/>
    </row>
    <row r="453">
      <c r="F453" s="64"/>
      <c r="G453" s="83"/>
      <c r="H453" s="66"/>
    </row>
    <row r="454">
      <c r="F454" s="64"/>
      <c r="G454" s="83"/>
      <c r="H454" s="66"/>
    </row>
    <row r="455">
      <c r="F455" s="64"/>
      <c r="G455" s="83"/>
      <c r="H455" s="66"/>
    </row>
    <row r="456">
      <c r="F456" s="64"/>
      <c r="G456" s="83"/>
      <c r="H456" s="66"/>
    </row>
    <row r="457">
      <c r="F457" s="64"/>
      <c r="G457" s="83"/>
      <c r="H457" s="66"/>
    </row>
    <row r="458">
      <c r="F458" s="64"/>
      <c r="G458" s="83"/>
      <c r="H458" s="66"/>
    </row>
    <row r="459">
      <c r="F459" s="64"/>
      <c r="G459" s="83"/>
      <c r="H459" s="66"/>
    </row>
    <row r="460">
      <c r="F460" s="64"/>
      <c r="G460" s="83"/>
      <c r="H460" s="66"/>
    </row>
    <row r="461">
      <c r="F461" s="64"/>
      <c r="G461" s="83"/>
      <c r="H461" s="66"/>
    </row>
    <row r="462">
      <c r="F462" s="64"/>
      <c r="G462" s="83"/>
      <c r="H462" s="66"/>
    </row>
    <row r="463">
      <c r="F463" s="64"/>
      <c r="G463" s="83"/>
      <c r="H463" s="66"/>
    </row>
    <row r="464">
      <c r="F464" s="64"/>
      <c r="G464" s="83"/>
      <c r="H464" s="66"/>
    </row>
    <row r="465">
      <c r="F465" s="64"/>
      <c r="G465" s="83"/>
      <c r="H465" s="66"/>
    </row>
    <row r="466">
      <c r="F466" s="64"/>
      <c r="G466" s="83"/>
      <c r="H466" s="66"/>
    </row>
    <row r="467">
      <c r="F467" s="64"/>
      <c r="G467" s="83"/>
      <c r="H467" s="66"/>
    </row>
    <row r="468">
      <c r="F468" s="64"/>
      <c r="G468" s="83"/>
      <c r="H468" s="66"/>
    </row>
    <row r="469">
      <c r="F469" s="64"/>
      <c r="G469" s="83"/>
      <c r="H469" s="66"/>
    </row>
    <row r="470">
      <c r="F470" s="64"/>
      <c r="G470" s="83"/>
      <c r="H470" s="66"/>
    </row>
    <row r="471">
      <c r="F471" s="64"/>
      <c r="G471" s="83"/>
      <c r="H471" s="66"/>
    </row>
    <row r="472">
      <c r="F472" s="64"/>
      <c r="G472" s="83"/>
      <c r="H472" s="66"/>
    </row>
    <row r="473">
      <c r="F473" s="64"/>
      <c r="G473" s="83"/>
      <c r="H473" s="66"/>
    </row>
    <row r="474">
      <c r="F474" s="64"/>
      <c r="G474" s="83"/>
      <c r="H474" s="66"/>
    </row>
    <row r="475">
      <c r="F475" s="64"/>
      <c r="G475" s="83"/>
      <c r="H475" s="66"/>
    </row>
    <row r="476">
      <c r="F476" s="64"/>
      <c r="G476" s="83"/>
      <c r="H476" s="66"/>
    </row>
    <row r="477">
      <c r="F477" s="64"/>
      <c r="G477" s="83"/>
      <c r="H477" s="66"/>
    </row>
    <row r="478">
      <c r="F478" s="64"/>
      <c r="G478" s="83"/>
      <c r="H478" s="66"/>
    </row>
    <row r="479">
      <c r="F479" s="64"/>
      <c r="G479" s="83"/>
      <c r="H479" s="66"/>
    </row>
    <row r="480">
      <c r="F480" s="64"/>
      <c r="G480" s="83"/>
      <c r="H480" s="66"/>
    </row>
    <row r="481">
      <c r="F481" s="64"/>
      <c r="G481" s="83"/>
      <c r="H481" s="66"/>
    </row>
    <row r="482">
      <c r="F482" s="64"/>
      <c r="G482" s="83"/>
      <c r="H482" s="66"/>
    </row>
    <row r="483">
      <c r="F483" s="64"/>
      <c r="G483" s="83"/>
      <c r="H483" s="66"/>
    </row>
    <row r="484">
      <c r="F484" s="64"/>
      <c r="G484" s="83"/>
      <c r="H484" s="66"/>
    </row>
    <row r="485">
      <c r="F485" s="64"/>
      <c r="G485" s="83"/>
      <c r="H485" s="66"/>
    </row>
    <row r="486">
      <c r="F486" s="64"/>
      <c r="G486" s="83"/>
      <c r="H486" s="66"/>
    </row>
    <row r="487">
      <c r="F487" s="64"/>
      <c r="G487" s="83"/>
      <c r="H487" s="66"/>
    </row>
    <row r="488">
      <c r="F488" s="64"/>
      <c r="G488" s="83"/>
      <c r="H488" s="66"/>
    </row>
    <row r="489">
      <c r="F489" s="64"/>
      <c r="G489" s="83"/>
      <c r="H489" s="66"/>
    </row>
    <row r="490">
      <c r="F490" s="64"/>
      <c r="G490" s="83"/>
      <c r="H490" s="66"/>
    </row>
    <row r="491">
      <c r="F491" s="64"/>
      <c r="G491" s="83"/>
      <c r="H491" s="66"/>
    </row>
    <row r="492">
      <c r="F492" s="64"/>
      <c r="G492" s="83"/>
      <c r="H492" s="66"/>
    </row>
    <row r="493">
      <c r="F493" s="64"/>
      <c r="G493" s="83"/>
      <c r="H493" s="66"/>
    </row>
    <row r="494">
      <c r="F494" s="64"/>
      <c r="G494" s="83"/>
      <c r="H494" s="66"/>
    </row>
    <row r="495">
      <c r="F495" s="64"/>
      <c r="G495" s="83"/>
      <c r="H495" s="66"/>
    </row>
    <row r="496">
      <c r="F496" s="64"/>
      <c r="G496" s="83"/>
      <c r="H496" s="66"/>
    </row>
    <row r="497">
      <c r="F497" s="64"/>
      <c r="G497" s="83"/>
      <c r="H497" s="66"/>
    </row>
    <row r="498">
      <c r="F498" s="64"/>
      <c r="G498" s="83"/>
      <c r="H498" s="66"/>
    </row>
    <row r="499">
      <c r="F499" s="64"/>
      <c r="G499" s="83"/>
      <c r="H499" s="66"/>
    </row>
    <row r="500">
      <c r="F500" s="64"/>
      <c r="G500" s="83"/>
      <c r="H500" s="66"/>
    </row>
    <row r="501">
      <c r="F501" s="64"/>
      <c r="G501" s="83"/>
      <c r="H501" s="66"/>
    </row>
    <row r="502">
      <c r="F502" s="64"/>
      <c r="G502" s="83"/>
      <c r="H502" s="66"/>
    </row>
    <row r="503">
      <c r="F503" s="64"/>
      <c r="G503" s="83"/>
      <c r="H503" s="66"/>
    </row>
    <row r="504">
      <c r="F504" s="64"/>
      <c r="G504" s="83"/>
      <c r="H504" s="66"/>
    </row>
    <row r="505">
      <c r="F505" s="64"/>
      <c r="G505" s="83"/>
      <c r="H505" s="66"/>
    </row>
    <row r="506">
      <c r="F506" s="64"/>
      <c r="G506" s="83"/>
      <c r="H506" s="66"/>
    </row>
    <row r="507">
      <c r="F507" s="64"/>
      <c r="G507" s="83"/>
      <c r="H507" s="66"/>
    </row>
    <row r="508">
      <c r="F508" s="64"/>
      <c r="G508" s="83"/>
      <c r="H508" s="66"/>
    </row>
    <row r="509">
      <c r="F509" s="64"/>
      <c r="G509" s="83"/>
      <c r="H509" s="66"/>
    </row>
    <row r="510">
      <c r="F510" s="64"/>
      <c r="G510" s="83"/>
      <c r="H510" s="66"/>
    </row>
    <row r="511">
      <c r="F511" s="64"/>
      <c r="G511" s="83"/>
      <c r="H511" s="66"/>
    </row>
    <row r="512">
      <c r="F512" s="64"/>
      <c r="G512" s="83"/>
      <c r="H512" s="66"/>
    </row>
    <row r="513">
      <c r="F513" s="64"/>
      <c r="G513" s="83"/>
      <c r="H513" s="66"/>
    </row>
    <row r="514">
      <c r="F514" s="64"/>
      <c r="G514" s="83"/>
      <c r="H514" s="66"/>
    </row>
    <row r="515">
      <c r="F515" s="64"/>
      <c r="G515" s="83"/>
      <c r="H515" s="66"/>
    </row>
    <row r="516">
      <c r="F516" s="64"/>
      <c r="G516" s="83"/>
      <c r="H516" s="66"/>
    </row>
    <row r="517">
      <c r="F517" s="64"/>
      <c r="G517" s="83"/>
      <c r="H517" s="66"/>
    </row>
    <row r="518">
      <c r="F518" s="64"/>
      <c r="G518" s="83"/>
      <c r="H518" s="66"/>
    </row>
    <row r="519">
      <c r="F519" s="64"/>
      <c r="G519" s="83"/>
      <c r="H519" s="66"/>
    </row>
    <row r="520">
      <c r="F520" s="64"/>
      <c r="G520" s="83"/>
      <c r="H520" s="66"/>
    </row>
    <row r="521">
      <c r="F521" s="64"/>
      <c r="G521" s="83"/>
      <c r="H521" s="66"/>
    </row>
    <row r="522">
      <c r="F522" s="64"/>
      <c r="G522" s="83"/>
      <c r="H522" s="66"/>
    </row>
    <row r="523">
      <c r="F523" s="64"/>
      <c r="G523" s="83"/>
      <c r="H523" s="66"/>
    </row>
    <row r="524">
      <c r="F524" s="64"/>
      <c r="G524" s="83"/>
      <c r="H524" s="66"/>
    </row>
    <row r="525">
      <c r="F525" s="64"/>
      <c r="G525" s="83"/>
      <c r="H525" s="66"/>
    </row>
    <row r="526">
      <c r="F526" s="64"/>
      <c r="G526" s="83"/>
      <c r="H526" s="66"/>
    </row>
    <row r="527">
      <c r="F527" s="64"/>
      <c r="G527" s="83"/>
      <c r="H527" s="66"/>
    </row>
    <row r="528">
      <c r="F528" s="64"/>
      <c r="G528" s="83"/>
      <c r="H528" s="66"/>
    </row>
    <row r="529">
      <c r="F529" s="64"/>
      <c r="G529" s="83"/>
      <c r="H529" s="66"/>
    </row>
    <row r="530">
      <c r="F530" s="64"/>
      <c r="G530" s="83"/>
      <c r="H530" s="66"/>
    </row>
    <row r="531">
      <c r="F531" s="64"/>
      <c r="G531" s="83"/>
      <c r="H531" s="66"/>
    </row>
    <row r="532">
      <c r="F532" s="64"/>
      <c r="G532" s="83"/>
      <c r="H532" s="66"/>
    </row>
    <row r="533">
      <c r="F533" s="64"/>
      <c r="G533" s="83"/>
      <c r="H533" s="66"/>
    </row>
    <row r="534">
      <c r="F534" s="64"/>
      <c r="G534" s="83"/>
      <c r="H534" s="66"/>
    </row>
    <row r="535">
      <c r="F535" s="64"/>
      <c r="G535" s="83"/>
      <c r="H535" s="66"/>
    </row>
    <row r="536">
      <c r="F536" s="64"/>
      <c r="G536" s="83"/>
      <c r="H536" s="66"/>
    </row>
    <row r="537">
      <c r="F537" s="64"/>
      <c r="G537" s="83"/>
      <c r="H537" s="66"/>
    </row>
    <row r="538">
      <c r="F538" s="64"/>
      <c r="G538" s="83"/>
      <c r="H538" s="66"/>
    </row>
    <row r="539">
      <c r="F539" s="64"/>
      <c r="G539" s="83"/>
      <c r="H539" s="66"/>
    </row>
    <row r="540">
      <c r="F540" s="64"/>
      <c r="G540" s="83"/>
      <c r="H540" s="66"/>
    </row>
    <row r="541">
      <c r="F541" s="64"/>
      <c r="G541" s="83"/>
      <c r="H541" s="66"/>
    </row>
    <row r="542">
      <c r="F542" s="64"/>
      <c r="G542" s="83"/>
      <c r="H542" s="66"/>
    </row>
    <row r="543">
      <c r="F543" s="64"/>
      <c r="G543" s="83"/>
      <c r="H543" s="66"/>
    </row>
    <row r="544">
      <c r="F544" s="64"/>
      <c r="G544" s="83"/>
      <c r="H544" s="66"/>
    </row>
    <row r="545">
      <c r="F545" s="64"/>
      <c r="G545" s="83"/>
      <c r="H545" s="66"/>
    </row>
    <row r="546">
      <c r="F546" s="64"/>
      <c r="G546" s="83"/>
      <c r="H546" s="66"/>
    </row>
    <row r="547">
      <c r="F547" s="64"/>
      <c r="G547" s="83"/>
      <c r="H547" s="66"/>
    </row>
    <row r="548">
      <c r="F548" s="64"/>
      <c r="G548" s="83"/>
      <c r="H548" s="66"/>
    </row>
    <row r="549">
      <c r="F549" s="64"/>
      <c r="G549" s="83"/>
      <c r="H549" s="66"/>
    </row>
    <row r="550">
      <c r="F550" s="64"/>
      <c r="G550" s="83"/>
      <c r="H550" s="66"/>
    </row>
    <row r="551">
      <c r="F551" s="64"/>
      <c r="G551" s="83"/>
      <c r="H551" s="66"/>
    </row>
    <row r="552">
      <c r="F552" s="64"/>
      <c r="G552" s="83"/>
      <c r="H552" s="66"/>
    </row>
    <row r="553">
      <c r="F553" s="64"/>
      <c r="G553" s="83"/>
      <c r="H553" s="66"/>
    </row>
    <row r="554">
      <c r="F554" s="64"/>
      <c r="G554" s="83"/>
      <c r="H554" s="66"/>
    </row>
    <row r="555">
      <c r="F555" s="64"/>
      <c r="G555" s="83"/>
      <c r="H555" s="66"/>
    </row>
    <row r="556">
      <c r="F556" s="64"/>
      <c r="G556" s="83"/>
      <c r="H556" s="66"/>
    </row>
    <row r="557">
      <c r="F557" s="64"/>
      <c r="G557" s="83"/>
      <c r="H557" s="66"/>
    </row>
    <row r="558">
      <c r="F558" s="64"/>
      <c r="G558" s="83"/>
      <c r="H558" s="66"/>
    </row>
    <row r="559">
      <c r="F559" s="64"/>
      <c r="G559" s="83"/>
      <c r="H559" s="66"/>
    </row>
    <row r="560">
      <c r="F560" s="64"/>
      <c r="G560" s="83"/>
      <c r="H560" s="66"/>
    </row>
    <row r="561">
      <c r="F561" s="64"/>
      <c r="G561" s="83"/>
      <c r="H561" s="66"/>
    </row>
    <row r="562">
      <c r="F562" s="64"/>
      <c r="G562" s="83"/>
      <c r="H562" s="66"/>
    </row>
    <row r="563">
      <c r="F563" s="64"/>
      <c r="G563" s="83"/>
      <c r="H563" s="66"/>
    </row>
    <row r="564">
      <c r="F564" s="64"/>
      <c r="G564" s="83"/>
      <c r="H564" s="66"/>
    </row>
    <row r="565">
      <c r="F565" s="64"/>
      <c r="G565" s="83"/>
      <c r="H565" s="66"/>
    </row>
    <row r="566">
      <c r="F566" s="64"/>
      <c r="G566" s="83"/>
      <c r="H566" s="66"/>
    </row>
    <row r="567">
      <c r="F567" s="64"/>
      <c r="G567" s="83"/>
      <c r="H567" s="66"/>
    </row>
    <row r="568">
      <c r="F568" s="64"/>
      <c r="G568" s="83"/>
      <c r="H568" s="66"/>
    </row>
    <row r="569">
      <c r="F569" s="64"/>
      <c r="G569" s="83"/>
      <c r="H569" s="66"/>
    </row>
    <row r="570">
      <c r="F570" s="64"/>
      <c r="G570" s="83"/>
      <c r="H570" s="66"/>
    </row>
    <row r="571">
      <c r="F571" s="64"/>
      <c r="G571" s="83"/>
      <c r="H571" s="66"/>
    </row>
    <row r="572">
      <c r="F572" s="64"/>
      <c r="G572" s="83"/>
      <c r="H572" s="66"/>
    </row>
    <row r="573">
      <c r="F573" s="64"/>
      <c r="G573" s="83"/>
      <c r="H573" s="66"/>
    </row>
    <row r="574">
      <c r="F574" s="64"/>
      <c r="G574" s="83"/>
      <c r="H574" s="66"/>
    </row>
    <row r="575">
      <c r="F575" s="64"/>
      <c r="G575" s="83"/>
      <c r="H575" s="66"/>
    </row>
    <row r="576">
      <c r="F576" s="64"/>
      <c r="G576" s="83"/>
      <c r="H576" s="66"/>
    </row>
    <row r="577">
      <c r="F577" s="64"/>
      <c r="G577" s="83"/>
      <c r="H577" s="66"/>
    </row>
    <row r="578">
      <c r="F578" s="64"/>
      <c r="G578" s="83"/>
      <c r="H578" s="66"/>
    </row>
    <row r="579">
      <c r="F579" s="64"/>
      <c r="G579" s="83"/>
      <c r="H579" s="66"/>
    </row>
    <row r="580">
      <c r="F580" s="64"/>
      <c r="G580" s="83"/>
      <c r="H580" s="66"/>
    </row>
    <row r="581">
      <c r="F581" s="64"/>
      <c r="G581" s="83"/>
      <c r="H581" s="66"/>
    </row>
    <row r="582">
      <c r="F582" s="64"/>
      <c r="G582" s="83"/>
      <c r="H582" s="66"/>
    </row>
    <row r="583">
      <c r="F583" s="64"/>
      <c r="G583" s="83"/>
      <c r="H583" s="66"/>
    </row>
    <row r="584">
      <c r="F584" s="64"/>
      <c r="G584" s="83"/>
      <c r="H584" s="66"/>
    </row>
    <row r="585">
      <c r="F585" s="64"/>
      <c r="G585" s="83"/>
      <c r="H585" s="66"/>
    </row>
    <row r="586">
      <c r="F586" s="64"/>
      <c r="G586" s="83"/>
      <c r="H586" s="66"/>
    </row>
    <row r="587">
      <c r="F587" s="64"/>
      <c r="G587" s="83"/>
      <c r="H587" s="66"/>
    </row>
    <row r="588">
      <c r="F588" s="64"/>
      <c r="G588" s="83"/>
      <c r="H588" s="66"/>
    </row>
    <row r="589">
      <c r="F589" s="64"/>
      <c r="G589" s="83"/>
      <c r="H589" s="66"/>
    </row>
    <row r="590">
      <c r="F590" s="64"/>
      <c r="G590" s="83"/>
      <c r="H590" s="66"/>
    </row>
    <row r="591">
      <c r="F591" s="64"/>
      <c r="G591" s="83"/>
      <c r="H591" s="66"/>
    </row>
    <row r="592">
      <c r="F592" s="64"/>
      <c r="G592" s="83"/>
      <c r="H592" s="66"/>
    </row>
    <row r="593">
      <c r="F593" s="64"/>
      <c r="G593" s="83"/>
      <c r="H593" s="66"/>
    </row>
    <row r="594">
      <c r="F594" s="64"/>
      <c r="G594" s="83"/>
      <c r="H594" s="66"/>
    </row>
    <row r="595">
      <c r="F595" s="64"/>
      <c r="G595" s="83"/>
      <c r="H595" s="66"/>
    </row>
    <row r="596">
      <c r="F596" s="64"/>
      <c r="G596" s="83"/>
      <c r="H596" s="66"/>
    </row>
    <row r="597">
      <c r="F597" s="64"/>
      <c r="G597" s="83"/>
      <c r="H597" s="66"/>
    </row>
    <row r="598">
      <c r="F598" s="64"/>
      <c r="G598" s="83"/>
      <c r="H598" s="66"/>
    </row>
    <row r="599">
      <c r="F599" s="64"/>
      <c r="G599" s="83"/>
      <c r="H599" s="66"/>
    </row>
    <row r="600">
      <c r="F600" s="64"/>
      <c r="G600" s="83"/>
      <c r="H600" s="66"/>
    </row>
    <row r="601">
      <c r="F601" s="64"/>
      <c r="G601" s="83"/>
      <c r="H601" s="66"/>
    </row>
    <row r="602">
      <c r="F602" s="64"/>
      <c r="G602" s="83"/>
      <c r="H602" s="66"/>
    </row>
    <row r="603">
      <c r="F603" s="64"/>
      <c r="G603" s="83"/>
      <c r="H603" s="66"/>
    </row>
    <row r="604">
      <c r="F604" s="64"/>
      <c r="G604" s="83"/>
      <c r="H604" s="66"/>
    </row>
    <row r="605">
      <c r="F605" s="64"/>
      <c r="G605" s="83"/>
      <c r="H605" s="66"/>
    </row>
    <row r="606">
      <c r="F606" s="64"/>
      <c r="G606" s="83"/>
      <c r="H606" s="66"/>
    </row>
    <row r="607">
      <c r="F607" s="64"/>
      <c r="G607" s="83"/>
      <c r="H607" s="66"/>
    </row>
    <row r="608">
      <c r="F608" s="64"/>
      <c r="G608" s="83"/>
      <c r="H608" s="66"/>
    </row>
    <row r="609">
      <c r="F609" s="64"/>
      <c r="G609" s="83"/>
      <c r="H609" s="66"/>
    </row>
    <row r="610">
      <c r="F610" s="64"/>
      <c r="G610" s="83"/>
      <c r="H610" s="66"/>
    </row>
    <row r="611">
      <c r="F611" s="64"/>
      <c r="G611" s="83"/>
      <c r="H611" s="66"/>
    </row>
    <row r="612">
      <c r="F612" s="64"/>
      <c r="G612" s="83"/>
      <c r="H612" s="66"/>
    </row>
    <row r="613">
      <c r="F613" s="64"/>
      <c r="G613" s="83"/>
      <c r="H613" s="66"/>
    </row>
    <row r="614">
      <c r="F614" s="64"/>
      <c r="G614" s="83"/>
      <c r="H614" s="66"/>
    </row>
    <row r="615">
      <c r="F615" s="64"/>
      <c r="G615" s="83"/>
      <c r="H615" s="66"/>
    </row>
    <row r="616">
      <c r="F616" s="64"/>
      <c r="G616" s="83"/>
      <c r="H616" s="66"/>
    </row>
    <row r="617">
      <c r="F617" s="64"/>
      <c r="G617" s="83"/>
      <c r="H617" s="66"/>
    </row>
    <row r="618">
      <c r="F618" s="64"/>
      <c r="G618" s="83"/>
      <c r="H618" s="66"/>
    </row>
    <row r="619">
      <c r="F619" s="64"/>
      <c r="G619" s="83"/>
      <c r="H619" s="66"/>
    </row>
    <row r="620">
      <c r="F620" s="64"/>
      <c r="G620" s="83"/>
      <c r="H620" s="66"/>
    </row>
    <row r="621">
      <c r="F621" s="64"/>
      <c r="G621" s="83"/>
      <c r="H621" s="66"/>
    </row>
    <row r="622">
      <c r="F622" s="64"/>
      <c r="G622" s="83"/>
      <c r="H622" s="66"/>
    </row>
    <row r="623">
      <c r="F623" s="64"/>
      <c r="G623" s="83"/>
      <c r="H623" s="66"/>
    </row>
    <row r="624">
      <c r="F624" s="64"/>
      <c r="G624" s="83"/>
      <c r="H624" s="66"/>
    </row>
    <row r="625">
      <c r="F625" s="64"/>
      <c r="G625" s="83"/>
      <c r="H625" s="66"/>
    </row>
    <row r="626">
      <c r="F626" s="64"/>
      <c r="G626" s="83"/>
      <c r="H626" s="66"/>
    </row>
    <row r="627">
      <c r="F627" s="64"/>
      <c r="G627" s="83"/>
      <c r="H627" s="66"/>
    </row>
    <row r="628">
      <c r="F628" s="64"/>
      <c r="G628" s="83"/>
      <c r="H628" s="66"/>
    </row>
    <row r="629">
      <c r="F629" s="64"/>
      <c r="G629" s="83"/>
      <c r="H629" s="66"/>
    </row>
    <row r="630">
      <c r="F630" s="64"/>
      <c r="G630" s="83"/>
      <c r="H630" s="66"/>
    </row>
    <row r="631">
      <c r="F631" s="64"/>
      <c r="G631" s="83"/>
      <c r="H631" s="66"/>
    </row>
    <row r="632">
      <c r="F632" s="64"/>
      <c r="G632" s="83"/>
      <c r="H632" s="66"/>
    </row>
    <row r="633">
      <c r="F633" s="64"/>
      <c r="G633" s="83"/>
      <c r="H633" s="66"/>
    </row>
    <row r="634">
      <c r="F634" s="64"/>
      <c r="G634" s="83"/>
      <c r="H634" s="66"/>
    </row>
    <row r="635">
      <c r="F635" s="64"/>
      <c r="G635" s="83"/>
      <c r="H635" s="66"/>
    </row>
    <row r="636">
      <c r="F636" s="64"/>
      <c r="G636" s="83"/>
      <c r="H636" s="66"/>
    </row>
    <row r="637">
      <c r="F637" s="64"/>
      <c r="G637" s="83"/>
      <c r="H637" s="66"/>
    </row>
    <row r="638">
      <c r="F638" s="64"/>
      <c r="G638" s="83"/>
      <c r="H638" s="66"/>
    </row>
    <row r="639">
      <c r="F639" s="64"/>
      <c r="G639" s="83"/>
      <c r="H639" s="66"/>
    </row>
    <row r="640">
      <c r="F640" s="64"/>
      <c r="G640" s="83"/>
      <c r="H640" s="66"/>
    </row>
    <row r="641">
      <c r="F641" s="64"/>
      <c r="G641" s="83"/>
      <c r="H641" s="66"/>
    </row>
    <row r="642">
      <c r="F642" s="64"/>
      <c r="G642" s="83"/>
      <c r="H642" s="66"/>
    </row>
    <row r="643">
      <c r="F643" s="64"/>
      <c r="G643" s="83"/>
      <c r="H643" s="66"/>
    </row>
    <row r="644">
      <c r="F644" s="64"/>
      <c r="G644" s="83"/>
      <c r="H644" s="66"/>
    </row>
    <row r="645">
      <c r="F645" s="64"/>
      <c r="G645" s="83"/>
      <c r="H645" s="66"/>
    </row>
    <row r="646">
      <c r="F646" s="64"/>
      <c r="G646" s="83"/>
      <c r="H646" s="66"/>
    </row>
    <row r="647">
      <c r="F647" s="64"/>
      <c r="G647" s="83"/>
      <c r="H647" s="66"/>
    </row>
    <row r="648">
      <c r="F648" s="64"/>
      <c r="G648" s="83"/>
      <c r="H648" s="66"/>
    </row>
    <row r="649">
      <c r="F649" s="64"/>
      <c r="G649" s="83"/>
      <c r="H649" s="66"/>
    </row>
    <row r="650">
      <c r="F650" s="64"/>
      <c r="G650" s="83"/>
      <c r="H650" s="66"/>
    </row>
    <row r="651">
      <c r="F651" s="64"/>
      <c r="G651" s="83"/>
      <c r="H651" s="66"/>
    </row>
    <row r="652">
      <c r="F652" s="64"/>
      <c r="G652" s="83"/>
      <c r="H652" s="66"/>
    </row>
    <row r="653">
      <c r="F653" s="64"/>
      <c r="G653" s="83"/>
      <c r="H653" s="66"/>
    </row>
    <row r="654">
      <c r="F654" s="64"/>
      <c r="G654" s="83"/>
      <c r="H654" s="66"/>
    </row>
    <row r="655">
      <c r="F655" s="64"/>
      <c r="G655" s="83"/>
      <c r="H655" s="66"/>
    </row>
    <row r="656">
      <c r="F656" s="64"/>
      <c r="G656" s="83"/>
      <c r="H656" s="66"/>
    </row>
    <row r="657">
      <c r="F657" s="64"/>
      <c r="G657" s="83"/>
      <c r="H657" s="66"/>
    </row>
    <row r="658">
      <c r="F658" s="64"/>
      <c r="G658" s="83"/>
      <c r="H658" s="66"/>
    </row>
    <row r="659">
      <c r="F659" s="64"/>
      <c r="G659" s="83"/>
      <c r="H659" s="66"/>
    </row>
    <row r="660">
      <c r="F660" s="64"/>
      <c r="G660" s="83"/>
      <c r="H660" s="66"/>
    </row>
    <row r="661">
      <c r="F661" s="64"/>
      <c r="G661" s="83"/>
      <c r="H661" s="66"/>
    </row>
    <row r="662">
      <c r="F662" s="64"/>
      <c r="G662" s="83"/>
      <c r="H662" s="66"/>
    </row>
    <row r="663">
      <c r="F663" s="64"/>
      <c r="G663" s="83"/>
      <c r="H663" s="66"/>
    </row>
    <row r="664">
      <c r="F664" s="64"/>
      <c r="G664" s="83"/>
      <c r="H664" s="66"/>
    </row>
    <row r="665">
      <c r="F665" s="64"/>
      <c r="G665" s="83"/>
      <c r="H665" s="66"/>
    </row>
    <row r="666">
      <c r="F666" s="64"/>
      <c r="G666" s="83"/>
      <c r="H666" s="66"/>
    </row>
    <row r="667">
      <c r="F667" s="64"/>
      <c r="G667" s="83"/>
      <c r="H667" s="66"/>
    </row>
    <row r="668">
      <c r="F668" s="64"/>
      <c r="G668" s="83"/>
      <c r="H668" s="66"/>
    </row>
    <row r="669">
      <c r="F669" s="64"/>
      <c r="G669" s="83"/>
      <c r="H669" s="66"/>
    </row>
    <row r="670">
      <c r="F670" s="64"/>
      <c r="G670" s="83"/>
      <c r="H670" s="66"/>
    </row>
    <row r="671">
      <c r="F671" s="64"/>
      <c r="G671" s="83"/>
      <c r="H671" s="66"/>
    </row>
    <row r="672">
      <c r="F672" s="64"/>
      <c r="G672" s="83"/>
      <c r="H672" s="66"/>
    </row>
    <row r="673">
      <c r="F673" s="64"/>
      <c r="G673" s="83"/>
      <c r="H673" s="66"/>
    </row>
    <row r="674">
      <c r="F674" s="64"/>
      <c r="G674" s="83"/>
      <c r="H674" s="66"/>
    </row>
    <row r="675">
      <c r="F675" s="64"/>
      <c r="G675" s="83"/>
      <c r="H675" s="66"/>
    </row>
    <row r="676">
      <c r="F676" s="64"/>
      <c r="G676" s="83"/>
      <c r="H676" s="66"/>
    </row>
    <row r="677">
      <c r="F677" s="64"/>
      <c r="G677" s="83"/>
      <c r="H677" s="66"/>
    </row>
    <row r="678">
      <c r="F678" s="64"/>
      <c r="G678" s="83"/>
      <c r="H678" s="66"/>
    </row>
    <row r="679">
      <c r="F679" s="64"/>
      <c r="G679" s="83"/>
      <c r="H679" s="66"/>
    </row>
    <row r="680">
      <c r="F680" s="64"/>
      <c r="G680" s="83"/>
      <c r="H680" s="66"/>
    </row>
    <row r="681">
      <c r="F681" s="64"/>
      <c r="G681" s="83"/>
      <c r="H681" s="66"/>
    </row>
    <row r="682">
      <c r="F682" s="64"/>
      <c r="G682" s="83"/>
      <c r="H682" s="66"/>
    </row>
    <row r="683">
      <c r="F683" s="64"/>
      <c r="G683" s="83"/>
      <c r="H683" s="66"/>
    </row>
    <row r="684">
      <c r="F684" s="64"/>
      <c r="G684" s="83"/>
      <c r="H684" s="66"/>
    </row>
    <row r="685">
      <c r="F685" s="64"/>
      <c r="G685" s="83"/>
      <c r="H685" s="66"/>
    </row>
    <row r="686">
      <c r="F686" s="64"/>
      <c r="G686" s="83"/>
      <c r="H686" s="66"/>
    </row>
    <row r="687">
      <c r="F687" s="64"/>
      <c r="G687" s="83"/>
      <c r="H687" s="66"/>
    </row>
    <row r="688">
      <c r="F688" s="64"/>
      <c r="G688" s="83"/>
      <c r="H688" s="66"/>
    </row>
    <row r="689">
      <c r="F689" s="64"/>
      <c r="G689" s="83"/>
      <c r="H689" s="66"/>
    </row>
    <row r="690">
      <c r="F690" s="64"/>
      <c r="G690" s="83"/>
      <c r="H690" s="66"/>
    </row>
    <row r="691">
      <c r="F691" s="64"/>
      <c r="G691" s="83"/>
      <c r="H691" s="66"/>
    </row>
    <row r="692">
      <c r="F692" s="64"/>
      <c r="G692" s="83"/>
      <c r="H692" s="66"/>
    </row>
    <row r="693">
      <c r="F693" s="64"/>
      <c r="G693" s="83"/>
      <c r="H693" s="66"/>
    </row>
    <row r="694">
      <c r="F694" s="64"/>
      <c r="G694" s="83"/>
      <c r="H694" s="66"/>
    </row>
    <row r="695">
      <c r="F695" s="64"/>
      <c r="G695" s="83"/>
      <c r="H695" s="66"/>
    </row>
    <row r="696">
      <c r="F696" s="64"/>
      <c r="G696" s="83"/>
      <c r="H696" s="66"/>
    </row>
    <row r="697">
      <c r="F697" s="64"/>
      <c r="G697" s="83"/>
      <c r="H697" s="66"/>
    </row>
    <row r="698">
      <c r="F698" s="64"/>
      <c r="G698" s="83"/>
      <c r="H698" s="66"/>
    </row>
    <row r="699">
      <c r="F699" s="64"/>
      <c r="G699" s="83"/>
      <c r="H699" s="66"/>
    </row>
    <row r="700">
      <c r="F700" s="64"/>
      <c r="G700" s="83"/>
      <c r="H700" s="66"/>
    </row>
    <row r="701">
      <c r="F701" s="64"/>
      <c r="G701" s="83"/>
      <c r="H701" s="66"/>
    </row>
    <row r="702">
      <c r="F702" s="64"/>
      <c r="G702" s="83"/>
      <c r="H702" s="66"/>
    </row>
    <row r="703">
      <c r="F703" s="64"/>
      <c r="G703" s="83"/>
      <c r="H703" s="66"/>
    </row>
    <row r="704">
      <c r="F704" s="64"/>
      <c r="G704" s="83"/>
      <c r="H704" s="66"/>
    </row>
    <row r="705">
      <c r="F705" s="64"/>
      <c r="G705" s="83"/>
      <c r="H705" s="66"/>
    </row>
    <row r="706">
      <c r="F706" s="64"/>
      <c r="G706" s="83"/>
      <c r="H706" s="66"/>
    </row>
    <row r="707">
      <c r="F707" s="64"/>
      <c r="G707" s="83"/>
      <c r="H707" s="66"/>
    </row>
    <row r="708">
      <c r="F708" s="64"/>
      <c r="G708" s="83"/>
      <c r="H708" s="66"/>
    </row>
    <row r="709">
      <c r="F709" s="64"/>
      <c r="G709" s="83"/>
      <c r="H709" s="66"/>
    </row>
    <row r="710">
      <c r="F710" s="64"/>
      <c r="G710" s="83"/>
      <c r="H710" s="66"/>
    </row>
    <row r="711">
      <c r="F711" s="64"/>
      <c r="G711" s="83"/>
      <c r="H711" s="66"/>
    </row>
    <row r="712">
      <c r="F712" s="64"/>
      <c r="G712" s="83"/>
      <c r="H712" s="66"/>
    </row>
    <row r="713">
      <c r="F713" s="64"/>
      <c r="G713" s="83"/>
      <c r="H713" s="66"/>
    </row>
    <row r="714">
      <c r="F714" s="64"/>
      <c r="G714" s="83"/>
      <c r="H714" s="66"/>
    </row>
    <row r="715">
      <c r="F715" s="64"/>
      <c r="G715" s="83"/>
      <c r="H715" s="66"/>
    </row>
    <row r="716">
      <c r="F716" s="64"/>
      <c r="G716" s="83"/>
      <c r="H716" s="66"/>
    </row>
    <row r="717">
      <c r="F717" s="64"/>
      <c r="G717" s="83"/>
      <c r="H717" s="66"/>
    </row>
    <row r="718">
      <c r="F718" s="64"/>
      <c r="G718" s="83"/>
      <c r="H718" s="66"/>
    </row>
    <row r="719">
      <c r="F719" s="64"/>
      <c r="G719" s="83"/>
      <c r="H719" s="66"/>
    </row>
    <row r="720">
      <c r="F720" s="64"/>
      <c r="G720" s="83"/>
      <c r="H720" s="66"/>
    </row>
    <row r="721">
      <c r="F721" s="64"/>
      <c r="G721" s="83"/>
      <c r="H721" s="66"/>
    </row>
    <row r="722">
      <c r="F722" s="64"/>
      <c r="G722" s="83"/>
      <c r="H722" s="66"/>
    </row>
    <row r="723">
      <c r="F723" s="64"/>
      <c r="G723" s="83"/>
      <c r="H723" s="66"/>
    </row>
    <row r="724">
      <c r="F724" s="64"/>
      <c r="G724" s="83"/>
      <c r="H724" s="66"/>
    </row>
    <row r="725">
      <c r="F725" s="64"/>
      <c r="G725" s="83"/>
      <c r="H725" s="66"/>
    </row>
    <row r="726">
      <c r="F726" s="64"/>
      <c r="G726" s="83"/>
      <c r="H726" s="66"/>
    </row>
    <row r="727">
      <c r="F727" s="64"/>
      <c r="G727" s="83"/>
      <c r="H727" s="66"/>
    </row>
    <row r="728">
      <c r="F728" s="64"/>
      <c r="G728" s="83"/>
      <c r="H728" s="66"/>
    </row>
    <row r="729">
      <c r="F729" s="64"/>
      <c r="G729" s="83"/>
      <c r="H729" s="66"/>
    </row>
    <row r="730">
      <c r="F730" s="64"/>
      <c r="G730" s="83"/>
      <c r="H730" s="66"/>
    </row>
    <row r="731">
      <c r="F731" s="64"/>
      <c r="G731" s="83"/>
      <c r="H731" s="66"/>
    </row>
    <row r="732">
      <c r="F732" s="64"/>
      <c r="G732" s="83"/>
      <c r="H732" s="66"/>
    </row>
    <row r="733">
      <c r="F733" s="64"/>
      <c r="G733" s="83"/>
      <c r="H733" s="66"/>
    </row>
    <row r="734">
      <c r="F734" s="64"/>
      <c r="G734" s="83"/>
      <c r="H734" s="66"/>
    </row>
    <row r="735">
      <c r="F735" s="64"/>
      <c r="G735" s="83"/>
      <c r="H735" s="66"/>
    </row>
    <row r="736">
      <c r="F736" s="64"/>
      <c r="G736" s="83"/>
      <c r="H736" s="66"/>
    </row>
    <row r="737">
      <c r="F737" s="64"/>
      <c r="G737" s="83"/>
      <c r="H737" s="66"/>
    </row>
    <row r="738">
      <c r="F738" s="64"/>
      <c r="G738" s="83"/>
      <c r="H738" s="66"/>
    </row>
    <row r="739">
      <c r="F739" s="64"/>
      <c r="G739" s="83"/>
      <c r="H739" s="66"/>
    </row>
    <row r="740">
      <c r="F740" s="64"/>
      <c r="G740" s="83"/>
      <c r="H740" s="66"/>
    </row>
    <row r="741">
      <c r="F741" s="64"/>
      <c r="G741" s="83"/>
      <c r="H741" s="66"/>
    </row>
    <row r="742">
      <c r="F742" s="64"/>
      <c r="G742" s="83"/>
      <c r="H742" s="66"/>
    </row>
    <row r="743">
      <c r="F743" s="64"/>
      <c r="G743" s="83"/>
      <c r="H743" s="66"/>
    </row>
    <row r="744">
      <c r="F744" s="64"/>
      <c r="G744" s="83"/>
      <c r="H744" s="66"/>
    </row>
    <row r="745">
      <c r="F745" s="64"/>
      <c r="G745" s="83"/>
      <c r="H745" s="66"/>
    </row>
    <row r="746">
      <c r="F746" s="64"/>
      <c r="G746" s="83"/>
      <c r="H746" s="66"/>
    </row>
    <row r="747">
      <c r="F747" s="64"/>
      <c r="G747" s="83"/>
      <c r="H747" s="66"/>
    </row>
    <row r="748">
      <c r="F748" s="64"/>
      <c r="G748" s="83"/>
      <c r="H748" s="66"/>
    </row>
    <row r="749">
      <c r="F749" s="64"/>
      <c r="G749" s="83"/>
      <c r="H749" s="66"/>
    </row>
    <row r="750">
      <c r="F750" s="64"/>
      <c r="G750" s="83"/>
      <c r="H750" s="66"/>
    </row>
    <row r="751">
      <c r="F751" s="64"/>
      <c r="G751" s="83"/>
      <c r="H751" s="66"/>
    </row>
    <row r="752">
      <c r="F752" s="64"/>
      <c r="G752" s="83"/>
      <c r="H752" s="66"/>
    </row>
    <row r="753">
      <c r="F753" s="64"/>
      <c r="G753" s="83"/>
      <c r="H753" s="66"/>
    </row>
    <row r="754">
      <c r="F754" s="64"/>
      <c r="G754" s="83"/>
      <c r="H754" s="66"/>
    </row>
    <row r="755">
      <c r="F755" s="64"/>
      <c r="G755" s="83"/>
      <c r="H755" s="66"/>
    </row>
    <row r="756">
      <c r="F756" s="64"/>
      <c r="G756" s="83"/>
      <c r="H756" s="66"/>
    </row>
    <row r="757">
      <c r="F757" s="64"/>
      <c r="G757" s="83"/>
      <c r="H757" s="66"/>
    </row>
    <row r="758">
      <c r="F758" s="64"/>
      <c r="G758" s="83"/>
      <c r="H758" s="66"/>
    </row>
    <row r="759">
      <c r="F759" s="64"/>
      <c r="G759" s="83"/>
      <c r="H759" s="66"/>
    </row>
    <row r="760">
      <c r="F760" s="64"/>
      <c r="G760" s="83"/>
      <c r="H760" s="66"/>
    </row>
    <row r="761">
      <c r="F761" s="64"/>
      <c r="G761" s="83"/>
      <c r="H761" s="66"/>
    </row>
    <row r="762">
      <c r="F762" s="64"/>
      <c r="G762" s="83"/>
      <c r="H762" s="66"/>
    </row>
    <row r="763">
      <c r="F763" s="64"/>
      <c r="G763" s="83"/>
      <c r="H763" s="66"/>
    </row>
    <row r="764">
      <c r="F764" s="64"/>
      <c r="G764" s="83"/>
      <c r="H764" s="66"/>
    </row>
    <row r="765">
      <c r="F765" s="64"/>
      <c r="G765" s="83"/>
      <c r="H765" s="66"/>
    </row>
    <row r="766">
      <c r="F766" s="64"/>
      <c r="G766" s="83"/>
      <c r="H766" s="66"/>
    </row>
    <row r="767">
      <c r="F767" s="64"/>
      <c r="G767" s="83"/>
      <c r="H767" s="66"/>
    </row>
    <row r="768">
      <c r="F768" s="64"/>
      <c r="G768" s="83"/>
      <c r="H768" s="66"/>
    </row>
    <row r="769">
      <c r="F769" s="64"/>
      <c r="G769" s="83"/>
      <c r="H769" s="66"/>
    </row>
    <row r="770">
      <c r="F770" s="64"/>
      <c r="G770" s="83"/>
      <c r="H770" s="66"/>
    </row>
    <row r="771">
      <c r="F771" s="64"/>
      <c r="G771" s="83"/>
      <c r="H771" s="66"/>
    </row>
    <row r="772">
      <c r="F772" s="64"/>
      <c r="G772" s="83"/>
      <c r="H772" s="66"/>
    </row>
    <row r="773">
      <c r="F773" s="64"/>
      <c r="G773" s="83"/>
      <c r="H773" s="66"/>
    </row>
    <row r="774">
      <c r="F774" s="64"/>
      <c r="G774" s="83"/>
      <c r="H774" s="66"/>
    </row>
    <row r="775">
      <c r="F775" s="64"/>
      <c r="G775" s="83"/>
      <c r="H775" s="66"/>
    </row>
    <row r="776">
      <c r="F776" s="64"/>
      <c r="G776" s="83"/>
      <c r="H776" s="66"/>
    </row>
    <row r="777">
      <c r="F777" s="64"/>
      <c r="G777" s="83"/>
      <c r="H777" s="66"/>
    </row>
    <row r="778">
      <c r="F778" s="64"/>
      <c r="G778" s="83"/>
      <c r="H778" s="66"/>
    </row>
    <row r="779">
      <c r="F779" s="64"/>
      <c r="G779" s="83"/>
      <c r="H779" s="66"/>
    </row>
    <row r="780">
      <c r="F780" s="64"/>
      <c r="G780" s="83"/>
      <c r="H780" s="66"/>
    </row>
    <row r="781">
      <c r="F781" s="64"/>
      <c r="G781" s="83"/>
      <c r="H781" s="66"/>
    </row>
    <row r="782">
      <c r="F782" s="64"/>
      <c r="G782" s="83"/>
      <c r="H782" s="66"/>
    </row>
    <row r="783">
      <c r="F783" s="64"/>
      <c r="G783" s="83"/>
      <c r="H783" s="66"/>
    </row>
    <row r="784">
      <c r="F784" s="64"/>
      <c r="G784" s="83"/>
      <c r="H784" s="66"/>
    </row>
    <row r="785">
      <c r="F785" s="64"/>
      <c r="G785" s="83"/>
      <c r="H785" s="66"/>
    </row>
    <row r="786">
      <c r="F786" s="64"/>
      <c r="G786" s="83"/>
      <c r="H786" s="66"/>
    </row>
    <row r="787">
      <c r="F787" s="64"/>
      <c r="G787" s="83"/>
      <c r="H787" s="66"/>
    </row>
    <row r="788">
      <c r="F788" s="64"/>
      <c r="G788" s="83"/>
      <c r="H788" s="66"/>
    </row>
    <row r="789">
      <c r="F789" s="64"/>
      <c r="G789" s="83"/>
      <c r="H789" s="66"/>
    </row>
    <row r="790">
      <c r="F790" s="64"/>
      <c r="G790" s="83"/>
      <c r="H790" s="66"/>
    </row>
    <row r="791">
      <c r="F791" s="64"/>
      <c r="G791" s="83"/>
      <c r="H791" s="66"/>
    </row>
    <row r="792">
      <c r="F792" s="64"/>
      <c r="G792" s="83"/>
      <c r="H792" s="66"/>
    </row>
    <row r="793">
      <c r="F793" s="64"/>
      <c r="G793" s="83"/>
      <c r="H793" s="66"/>
    </row>
    <row r="794">
      <c r="F794" s="64"/>
      <c r="G794" s="83"/>
      <c r="H794" s="66"/>
    </row>
    <row r="795">
      <c r="F795" s="64"/>
      <c r="G795" s="83"/>
      <c r="H795" s="66"/>
    </row>
    <row r="796">
      <c r="F796" s="64"/>
      <c r="G796" s="83"/>
      <c r="H796" s="66"/>
    </row>
    <row r="797">
      <c r="F797" s="64"/>
      <c r="G797" s="83"/>
      <c r="H797" s="66"/>
    </row>
    <row r="798">
      <c r="F798" s="64"/>
      <c r="G798" s="83"/>
      <c r="H798" s="66"/>
    </row>
    <row r="799">
      <c r="F799" s="64"/>
      <c r="G799" s="83"/>
      <c r="H799" s="66"/>
    </row>
    <row r="800">
      <c r="F800" s="64"/>
      <c r="G800" s="83"/>
      <c r="H800" s="66"/>
    </row>
    <row r="801">
      <c r="F801" s="64"/>
      <c r="G801" s="83"/>
      <c r="H801" s="66"/>
    </row>
    <row r="802">
      <c r="F802" s="64"/>
      <c r="G802" s="83"/>
      <c r="H802" s="66"/>
    </row>
    <row r="803">
      <c r="F803" s="64"/>
      <c r="G803" s="83"/>
      <c r="H803" s="66"/>
    </row>
    <row r="804">
      <c r="F804" s="64"/>
      <c r="G804" s="83"/>
      <c r="H804" s="66"/>
    </row>
    <row r="805">
      <c r="F805" s="64"/>
      <c r="G805" s="83"/>
      <c r="H805" s="66"/>
    </row>
    <row r="806">
      <c r="F806" s="64"/>
      <c r="G806" s="83"/>
      <c r="H806" s="66"/>
    </row>
    <row r="807">
      <c r="F807" s="64"/>
      <c r="G807" s="83"/>
      <c r="H807" s="66"/>
    </row>
    <row r="808">
      <c r="F808" s="64"/>
      <c r="G808" s="83"/>
      <c r="H808" s="66"/>
    </row>
    <row r="809">
      <c r="F809" s="64"/>
      <c r="G809" s="83"/>
      <c r="H809" s="66"/>
    </row>
    <row r="810">
      <c r="F810" s="64"/>
      <c r="G810" s="83"/>
      <c r="H810" s="66"/>
    </row>
    <row r="811">
      <c r="F811" s="64"/>
      <c r="G811" s="83"/>
      <c r="H811" s="66"/>
    </row>
    <row r="812">
      <c r="F812" s="64"/>
      <c r="G812" s="83"/>
      <c r="H812" s="66"/>
    </row>
    <row r="813">
      <c r="F813" s="64"/>
      <c r="G813" s="83"/>
      <c r="H813" s="66"/>
    </row>
    <row r="814">
      <c r="F814" s="64"/>
      <c r="G814" s="83"/>
      <c r="H814" s="66"/>
    </row>
    <row r="815">
      <c r="F815" s="64"/>
      <c r="G815" s="83"/>
      <c r="H815" s="66"/>
    </row>
    <row r="816">
      <c r="F816" s="64"/>
      <c r="G816" s="83"/>
      <c r="H816" s="66"/>
    </row>
    <row r="817">
      <c r="F817" s="64"/>
      <c r="G817" s="83"/>
      <c r="H817" s="66"/>
    </row>
    <row r="818">
      <c r="F818" s="64"/>
      <c r="G818" s="83"/>
      <c r="H818" s="66"/>
    </row>
    <row r="819">
      <c r="F819" s="64"/>
      <c r="G819" s="83"/>
      <c r="H819" s="66"/>
    </row>
    <row r="820">
      <c r="F820" s="64"/>
      <c r="G820" s="83"/>
      <c r="H820" s="66"/>
    </row>
    <row r="821">
      <c r="F821" s="64"/>
      <c r="G821" s="83"/>
      <c r="H821" s="66"/>
    </row>
    <row r="822">
      <c r="F822" s="64"/>
      <c r="G822" s="83"/>
      <c r="H822" s="66"/>
    </row>
    <row r="823">
      <c r="F823" s="64"/>
      <c r="G823" s="83"/>
      <c r="H823" s="66"/>
    </row>
    <row r="824">
      <c r="F824" s="64"/>
      <c r="G824" s="83"/>
      <c r="H824" s="66"/>
    </row>
    <row r="825">
      <c r="F825" s="64"/>
      <c r="G825" s="83"/>
      <c r="H825" s="66"/>
    </row>
    <row r="826">
      <c r="F826" s="64"/>
      <c r="G826" s="83"/>
      <c r="H826" s="66"/>
    </row>
    <row r="827">
      <c r="F827" s="64"/>
      <c r="G827" s="83"/>
      <c r="H827" s="66"/>
    </row>
    <row r="828">
      <c r="F828" s="64"/>
      <c r="G828" s="83"/>
      <c r="H828" s="66"/>
    </row>
    <row r="829">
      <c r="F829" s="64"/>
      <c r="G829" s="83"/>
      <c r="H829" s="66"/>
    </row>
    <row r="830">
      <c r="F830" s="64"/>
      <c r="G830" s="83"/>
      <c r="H830" s="66"/>
    </row>
    <row r="831">
      <c r="F831" s="64"/>
      <c r="G831" s="83"/>
      <c r="H831" s="66"/>
    </row>
    <row r="832">
      <c r="F832" s="64"/>
      <c r="G832" s="83"/>
      <c r="H832" s="66"/>
    </row>
    <row r="833">
      <c r="F833" s="64"/>
      <c r="G833" s="83"/>
      <c r="H833" s="66"/>
    </row>
    <row r="834">
      <c r="F834" s="64"/>
      <c r="G834" s="83"/>
      <c r="H834" s="66"/>
    </row>
    <row r="835">
      <c r="F835" s="64"/>
      <c r="G835" s="83"/>
      <c r="H835" s="66"/>
    </row>
    <row r="836">
      <c r="F836" s="64"/>
      <c r="G836" s="83"/>
      <c r="H836" s="66"/>
    </row>
    <row r="837">
      <c r="F837" s="64"/>
      <c r="G837" s="83"/>
      <c r="H837" s="66"/>
    </row>
    <row r="838">
      <c r="F838" s="64"/>
      <c r="G838" s="83"/>
      <c r="H838" s="66"/>
    </row>
    <row r="839">
      <c r="F839" s="64"/>
      <c r="G839" s="83"/>
      <c r="H839" s="66"/>
    </row>
    <row r="840">
      <c r="F840" s="64"/>
      <c r="G840" s="83"/>
      <c r="H840" s="66"/>
    </row>
    <row r="841">
      <c r="F841" s="64"/>
      <c r="G841" s="83"/>
      <c r="H841" s="66"/>
    </row>
    <row r="842">
      <c r="F842" s="64"/>
      <c r="G842" s="83"/>
      <c r="H842" s="66"/>
    </row>
    <row r="843">
      <c r="F843" s="64"/>
      <c r="G843" s="83"/>
      <c r="H843" s="66"/>
    </row>
    <row r="844">
      <c r="F844" s="64"/>
      <c r="G844" s="83"/>
      <c r="H844" s="66"/>
    </row>
    <row r="845">
      <c r="F845" s="64"/>
      <c r="G845" s="83"/>
      <c r="H845" s="66"/>
    </row>
    <row r="846">
      <c r="F846" s="64"/>
      <c r="G846" s="83"/>
      <c r="H846" s="66"/>
    </row>
    <row r="847">
      <c r="F847" s="64"/>
      <c r="G847" s="83"/>
      <c r="H847" s="66"/>
    </row>
    <row r="848">
      <c r="F848" s="64"/>
      <c r="G848" s="83"/>
      <c r="H848" s="66"/>
    </row>
    <row r="849">
      <c r="F849" s="64"/>
      <c r="G849" s="83"/>
      <c r="H849" s="66"/>
    </row>
    <row r="850">
      <c r="F850" s="64"/>
      <c r="G850" s="83"/>
      <c r="H850" s="66"/>
    </row>
    <row r="851">
      <c r="F851" s="64"/>
      <c r="G851" s="83"/>
      <c r="H851" s="66"/>
    </row>
    <row r="852">
      <c r="F852" s="64"/>
      <c r="G852" s="83"/>
      <c r="H852" s="66"/>
    </row>
    <row r="853">
      <c r="F853" s="64"/>
      <c r="G853" s="83"/>
      <c r="H853" s="66"/>
    </row>
    <row r="854">
      <c r="F854" s="64"/>
      <c r="G854" s="83"/>
      <c r="H854" s="66"/>
    </row>
    <row r="855">
      <c r="F855" s="64"/>
      <c r="G855" s="83"/>
      <c r="H855" s="66"/>
    </row>
    <row r="856">
      <c r="F856" s="64"/>
      <c r="G856" s="83"/>
      <c r="H856" s="66"/>
    </row>
    <row r="857">
      <c r="F857" s="64"/>
      <c r="G857" s="83"/>
      <c r="H857" s="66"/>
    </row>
    <row r="858">
      <c r="F858" s="64"/>
      <c r="G858" s="83"/>
      <c r="H858" s="66"/>
    </row>
    <row r="859">
      <c r="F859" s="64"/>
      <c r="G859" s="83"/>
      <c r="H859" s="66"/>
    </row>
    <row r="860">
      <c r="F860" s="64"/>
      <c r="G860" s="83"/>
      <c r="H860" s="66"/>
    </row>
    <row r="861">
      <c r="F861" s="64"/>
      <c r="G861" s="83"/>
      <c r="H861" s="66"/>
    </row>
    <row r="862">
      <c r="F862" s="64"/>
      <c r="G862" s="83"/>
      <c r="H862" s="66"/>
    </row>
    <row r="863">
      <c r="F863" s="64"/>
      <c r="G863" s="83"/>
      <c r="H863" s="66"/>
    </row>
    <row r="864">
      <c r="F864" s="64"/>
      <c r="G864" s="83"/>
      <c r="H864" s="66"/>
    </row>
    <row r="865">
      <c r="F865" s="64"/>
      <c r="G865" s="83"/>
      <c r="H865" s="66"/>
    </row>
    <row r="866">
      <c r="F866" s="64"/>
      <c r="G866" s="83"/>
      <c r="H866" s="66"/>
    </row>
    <row r="867">
      <c r="F867" s="64"/>
      <c r="G867" s="83"/>
      <c r="H867" s="66"/>
    </row>
    <row r="868">
      <c r="F868" s="64"/>
      <c r="G868" s="83"/>
      <c r="H868" s="66"/>
    </row>
    <row r="869">
      <c r="F869" s="64"/>
      <c r="G869" s="83"/>
      <c r="H869" s="66"/>
    </row>
    <row r="870">
      <c r="F870" s="64"/>
      <c r="G870" s="83"/>
      <c r="H870" s="66"/>
    </row>
    <row r="871">
      <c r="F871" s="64"/>
      <c r="G871" s="83"/>
      <c r="H871" s="66"/>
    </row>
    <row r="872">
      <c r="F872" s="64"/>
      <c r="G872" s="83"/>
      <c r="H872" s="66"/>
    </row>
    <row r="873">
      <c r="F873" s="64"/>
      <c r="G873" s="83"/>
      <c r="H873" s="66"/>
    </row>
    <row r="874">
      <c r="F874" s="64"/>
      <c r="G874" s="83"/>
      <c r="H874" s="66"/>
    </row>
    <row r="875">
      <c r="F875" s="64"/>
      <c r="G875" s="83"/>
      <c r="H875" s="66"/>
    </row>
    <row r="876">
      <c r="F876" s="64"/>
      <c r="G876" s="83"/>
      <c r="H876" s="66"/>
    </row>
    <row r="877">
      <c r="F877" s="64"/>
      <c r="G877" s="83"/>
      <c r="H877" s="66"/>
    </row>
    <row r="878">
      <c r="F878" s="64"/>
      <c r="G878" s="83"/>
      <c r="H878" s="66"/>
    </row>
    <row r="879">
      <c r="F879" s="64"/>
      <c r="G879" s="83"/>
      <c r="H879" s="66"/>
    </row>
    <row r="880">
      <c r="F880" s="64"/>
      <c r="G880" s="83"/>
      <c r="H880" s="66"/>
    </row>
    <row r="881">
      <c r="F881" s="64"/>
      <c r="G881" s="83"/>
      <c r="H881" s="66"/>
    </row>
    <row r="882">
      <c r="F882" s="64"/>
      <c r="G882" s="83"/>
      <c r="H882" s="66"/>
    </row>
    <row r="883">
      <c r="F883" s="64"/>
      <c r="G883" s="83"/>
      <c r="H883" s="66"/>
    </row>
    <row r="884">
      <c r="F884" s="64"/>
      <c r="G884" s="83"/>
      <c r="H884" s="66"/>
    </row>
    <row r="885">
      <c r="F885" s="64"/>
      <c r="G885" s="83"/>
      <c r="H885" s="66"/>
    </row>
    <row r="886">
      <c r="F886" s="64"/>
      <c r="G886" s="83"/>
      <c r="H886" s="66"/>
    </row>
    <row r="887">
      <c r="F887" s="64"/>
      <c r="G887" s="83"/>
      <c r="H887" s="66"/>
    </row>
    <row r="888">
      <c r="F888" s="64"/>
      <c r="G888" s="83"/>
      <c r="H888" s="66"/>
    </row>
    <row r="889">
      <c r="F889" s="64"/>
      <c r="G889" s="83"/>
      <c r="H889" s="66"/>
    </row>
    <row r="890">
      <c r="F890" s="64"/>
      <c r="G890" s="83"/>
      <c r="H890" s="66"/>
    </row>
    <row r="891">
      <c r="F891" s="64"/>
      <c r="G891" s="83"/>
      <c r="H891" s="66"/>
    </row>
    <row r="892">
      <c r="F892" s="64"/>
      <c r="G892" s="83"/>
      <c r="H892" s="66"/>
    </row>
    <row r="893">
      <c r="F893" s="64"/>
      <c r="G893" s="83"/>
      <c r="H893" s="66"/>
    </row>
    <row r="894">
      <c r="F894" s="64"/>
      <c r="G894" s="83"/>
      <c r="H894" s="66"/>
    </row>
    <row r="895">
      <c r="F895" s="64"/>
      <c r="G895" s="83"/>
      <c r="H895" s="66"/>
    </row>
    <row r="896">
      <c r="F896" s="64"/>
      <c r="G896" s="83"/>
      <c r="H896" s="66"/>
    </row>
    <row r="897">
      <c r="F897" s="64"/>
      <c r="G897" s="83"/>
      <c r="H897" s="66"/>
    </row>
    <row r="898">
      <c r="F898" s="64"/>
      <c r="G898" s="83"/>
      <c r="H898" s="66"/>
    </row>
    <row r="899">
      <c r="F899" s="64"/>
      <c r="G899" s="83"/>
      <c r="H899" s="66"/>
    </row>
    <row r="900">
      <c r="F900" s="64"/>
      <c r="G900" s="83"/>
      <c r="H900" s="66"/>
    </row>
    <row r="901">
      <c r="F901" s="64"/>
      <c r="G901" s="83"/>
      <c r="H901" s="66"/>
    </row>
    <row r="902">
      <c r="F902" s="64"/>
      <c r="G902" s="83"/>
      <c r="H902" s="66"/>
    </row>
    <row r="903">
      <c r="F903" s="64"/>
      <c r="G903" s="83"/>
      <c r="H903" s="66"/>
    </row>
    <row r="904">
      <c r="F904" s="64"/>
      <c r="G904" s="83"/>
      <c r="H904" s="66"/>
    </row>
    <row r="905">
      <c r="F905" s="64"/>
      <c r="G905" s="83"/>
      <c r="H905" s="66"/>
    </row>
    <row r="906">
      <c r="F906" s="64"/>
      <c r="G906" s="83"/>
      <c r="H906" s="66"/>
    </row>
    <row r="907">
      <c r="F907" s="64"/>
      <c r="G907" s="83"/>
      <c r="H907" s="66"/>
    </row>
    <row r="908">
      <c r="F908" s="64"/>
      <c r="G908" s="83"/>
      <c r="H908" s="66"/>
    </row>
    <row r="909">
      <c r="F909" s="64"/>
      <c r="G909" s="83"/>
      <c r="H909" s="66"/>
    </row>
    <row r="910">
      <c r="F910" s="64"/>
      <c r="G910" s="83"/>
      <c r="H910" s="66"/>
    </row>
    <row r="911">
      <c r="F911" s="64"/>
      <c r="G911" s="83"/>
      <c r="H911" s="66"/>
    </row>
    <row r="912">
      <c r="F912" s="64"/>
      <c r="G912" s="83"/>
      <c r="H912" s="66"/>
    </row>
    <row r="913">
      <c r="F913" s="64"/>
      <c r="G913" s="83"/>
      <c r="H913" s="66"/>
    </row>
    <row r="914">
      <c r="F914" s="64"/>
      <c r="G914" s="83"/>
      <c r="H914" s="66"/>
    </row>
    <row r="915">
      <c r="F915" s="64"/>
      <c r="G915" s="83"/>
      <c r="H915" s="66"/>
    </row>
    <row r="916">
      <c r="F916" s="64"/>
      <c r="G916" s="83"/>
      <c r="H916" s="66"/>
    </row>
    <row r="917">
      <c r="F917" s="64"/>
      <c r="G917" s="83"/>
      <c r="H917" s="66"/>
    </row>
    <row r="918">
      <c r="F918" s="64"/>
      <c r="G918" s="83"/>
      <c r="H918" s="66"/>
    </row>
    <row r="919">
      <c r="F919" s="64"/>
      <c r="G919" s="83"/>
      <c r="H919" s="66"/>
    </row>
    <row r="920">
      <c r="F920" s="64"/>
      <c r="G920" s="83"/>
      <c r="H920" s="66"/>
    </row>
    <row r="921">
      <c r="F921" s="64"/>
      <c r="G921" s="83"/>
      <c r="H921" s="66"/>
    </row>
    <row r="922">
      <c r="F922" s="64"/>
      <c r="G922" s="83"/>
      <c r="H922" s="66"/>
    </row>
    <row r="923">
      <c r="F923" s="64"/>
      <c r="G923" s="83"/>
      <c r="H923" s="66"/>
    </row>
    <row r="924">
      <c r="F924" s="64"/>
      <c r="G924" s="83"/>
      <c r="H924" s="66"/>
    </row>
    <row r="925">
      <c r="F925" s="64"/>
      <c r="G925" s="83"/>
      <c r="H925" s="66"/>
    </row>
    <row r="926">
      <c r="F926" s="64"/>
      <c r="G926" s="83"/>
      <c r="H926" s="66"/>
    </row>
    <row r="927">
      <c r="F927" s="64"/>
      <c r="G927" s="83"/>
      <c r="H927" s="66"/>
    </row>
    <row r="928">
      <c r="F928" s="64"/>
      <c r="G928" s="83"/>
      <c r="H928" s="66"/>
    </row>
    <row r="929">
      <c r="F929" s="64"/>
      <c r="G929" s="83"/>
      <c r="H929" s="66"/>
    </row>
    <row r="930">
      <c r="F930" s="64"/>
      <c r="G930" s="83"/>
      <c r="H930" s="66"/>
    </row>
    <row r="931">
      <c r="F931" s="64"/>
      <c r="G931" s="83"/>
      <c r="H931" s="66"/>
    </row>
    <row r="932">
      <c r="F932" s="64"/>
      <c r="G932" s="83"/>
      <c r="H932" s="66"/>
    </row>
    <row r="933">
      <c r="F933" s="64"/>
      <c r="G933" s="83"/>
      <c r="H933" s="66"/>
    </row>
    <row r="934">
      <c r="F934" s="64"/>
      <c r="G934" s="83"/>
      <c r="H934" s="66"/>
    </row>
    <row r="935">
      <c r="F935" s="64"/>
      <c r="G935" s="83"/>
      <c r="H935" s="66"/>
    </row>
    <row r="936">
      <c r="F936" s="64"/>
      <c r="G936" s="83"/>
      <c r="H936" s="66"/>
    </row>
    <row r="937">
      <c r="F937" s="64"/>
      <c r="G937" s="83"/>
      <c r="H937" s="66"/>
    </row>
    <row r="938">
      <c r="F938" s="64"/>
      <c r="G938" s="83"/>
      <c r="H938" s="66"/>
    </row>
    <row r="939">
      <c r="F939" s="64"/>
      <c r="G939" s="83"/>
      <c r="H939" s="66"/>
    </row>
    <row r="940">
      <c r="F940" s="64"/>
      <c r="G940" s="83"/>
      <c r="H940" s="66"/>
    </row>
    <row r="941">
      <c r="F941" s="64"/>
      <c r="G941" s="83"/>
      <c r="H941" s="66"/>
    </row>
    <row r="942">
      <c r="F942" s="64"/>
      <c r="G942" s="83"/>
      <c r="H942" s="66"/>
    </row>
    <row r="943">
      <c r="F943" s="64"/>
      <c r="G943" s="83"/>
      <c r="H943" s="66"/>
    </row>
    <row r="944">
      <c r="F944" s="64"/>
      <c r="G944" s="83"/>
      <c r="H944" s="66"/>
    </row>
    <row r="945">
      <c r="F945" s="64"/>
      <c r="G945" s="83"/>
      <c r="H945" s="66"/>
    </row>
    <row r="946">
      <c r="F946" s="64"/>
      <c r="G946" s="83"/>
      <c r="H946" s="66"/>
    </row>
    <row r="947">
      <c r="F947" s="64"/>
      <c r="G947" s="83"/>
      <c r="H947" s="66"/>
    </row>
    <row r="948">
      <c r="F948" s="64"/>
      <c r="G948" s="83"/>
      <c r="H948" s="66"/>
    </row>
    <row r="949">
      <c r="F949" s="64"/>
      <c r="G949" s="83"/>
      <c r="H949" s="66"/>
    </row>
    <row r="950">
      <c r="F950" s="64"/>
      <c r="G950" s="83"/>
      <c r="H950" s="66"/>
    </row>
    <row r="951">
      <c r="F951" s="64"/>
      <c r="G951" s="83"/>
      <c r="H951" s="66"/>
    </row>
    <row r="952">
      <c r="F952" s="64"/>
      <c r="G952" s="83"/>
      <c r="H952" s="66"/>
    </row>
    <row r="953">
      <c r="F953" s="64"/>
      <c r="G953" s="83"/>
      <c r="H953" s="66"/>
    </row>
    <row r="954">
      <c r="F954" s="64"/>
      <c r="G954" s="83"/>
      <c r="H954" s="66"/>
    </row>
    <row r="955">
      <c r="F955" s="64"/>
      <c r="G955" s="83"/>
      <c r="H955" s="66"/>
    </row>
    <row r="956">
      <c r="F956" s="64"/>
      <c r="G956" s="83"/>
      <c r="H956" s="66"/>
    </row>
    <row r="957">
      <c r="F957" s="64"/>
      <c r="G957" s="83"/>
      <c r="H957" s="66"/>
    </row>
    <row r="958">
      <c r="F958" s="64"/>
      <c r="G958" s="83"/>
      <c r="H958" s="66"/>
    </row>
    <row r="959">
      <c r="F959" s="64"/>
      <c r="G959" s="83"/>
      <c r="H959" s="66"/>
    </row>
    <row r="960">
      <c r="F960" s="64"/>
      <c r="G960" s="83"/>
      <c r="H960" s="66"/>
    </row>
    <row r="961">
      <c r="F961" s="64"/>
      <c r="G961" s="83"/>
      <c r="H961" s="66"/>
    </row>
    <row r="962">
      <c r="F962" s="64"/>
      <c r="G962" s="83"/>
      <c r="H962" s="66"/>
    </row>
    <row r="963">
      <c r="F963" s="64"/>
      <c r="G963" s="83"/>
      <c r="H963" s="66"/>
    </row>
    <row r="964">
      <c r="F964" s="64"/>
      <c r="G964" s="83"/>
      <c r="H964" s="66"/>
    </row>
    <row r="965">
      <c r="F965" s="64"/>
      <c r="G965" s="83"/>
      <c r="H965" s="66"/>
    </row>
    <row r="966">
      <c r="F966" s="64"/>
      <c r="G966" s="83"/>
      <c r="H966" s="66"/>
    </row>
    <row r="967">
      <c r="F967" s="64"/>
      <c r="G967" s="83"/>
      <c r="H967" s="66"/>
    </row>
    <row r="968">
      <c r="F968" s="64"/>
      <c r="G968" s="83"/>
      <c r="H968" s="66"/>
    </row>
    <row r="969">
      <c r="F969" s="64"/>
      <c r="G969" s="83"/>
      <c r="H969" s="66"/>
    </row>
    <row r="970">
      <c r="F970" s="64"/>
      <c r="G970" s="83"/>
      <c r="H970" s="66"/>
    </row>
    <row r="971">
      <c r="F971" s="64"/>
      <c r="G971" s="83"/>
      <c r="H971" s="66"/>
    </row>
    <row r="972">
      <c r="F972" s="64"/>
      <c r="G972" s="83"/>
      <c r="H972" s="66"/>
    </row>
    <row r="973">
      <c r="F973" s="64"/>
      <c r="G973" s="83"/>
      <c r="H973" s="66"/>
    </row>
    <row r="974">
      <c r="F974" s="64"/>
      <c r="G974" s="83"/>
      <c r="H974" s="66"/>
    </row>
    <row r="975">
      <c r="F975" s="64"/>
      <c r="G975" s="83"/>
      <c r="H975" s="66"/>
    </row>
    <row r="976">
      <c r="F976" s="64"/>
      <c r="G976" s="83"/>
      <c r="H976" s="66"/>
    </row>
    <row r="977">
      <c r="F977" s="64"/>
      <c r="G977" s="83"/>
      <c r="H977" s="66"/>
    </row>
    <row r="978">
      <c r="F978" s="64"/>
      <c r="G978" s="83"/>
      <c r="H978" s="66"/>
    </row>
    <row r="979">
      <c r="F979" s="64"/>
      <c r="G979" s="83"/>
      <c r="H979" s="66"/>
    </row>
    <row r="980">
      <c r="F980" s="64"/>
      <c r="G980" s="83"/>
      <c r="H980" s="66"/>
    </row>
    <row r="981">
      <c r="F981" s="64"/>
      <c r="G981" s="83"/>
      <c r="H981" s="66"/>
    </row>
    <row r="982">
      <c r="F982" s="64"/>
      <c r="G982" s="83"/>
      <c r="H982" s="66"/>
    </row>
    <row r="983">
      <c r="F983" s="64"/>
      <c r="G983" s="83"/>
      <c r="H983" s="66"/>
    </row>
    <row r="984">
      <c r="F984" s="64"/>
      <c r="G984" s="83"/>
      <c r="H984" s="66"/>
    </row>
    <row r="985">
      <c r="F985" s="64"/>
      <c r="G985" s="83"/>
      <c r="H985" s="66"/>
    </row>
    <row r="986">
      <c r="F986" s="64"/>
      <c r="G986" s="83"/>
      <c r="H986" s="66"/>
    </row>
    <row r="987">
      <c r="F987" s="64"/>
      <c r="G987" s="83"/>
      <c r="H987" s="66"/>
    </row>
    <row r="988">
      <c r="F988" s="64"/>
      <c r="G988" s="83"/>
      <c r="H988" s="66"/>
    </row>
    <row r="989">
      <c r="F989" s="64"/>
      <c r="G989" s="83"/>
      <c r="H989" s="66"/>
    </row>
    <row r="990">
      <c r="F990" s="64"/>
      <c r="G990" s="83"/>
      <c r="H990" s="66"/>
    </row>
    <row r="991">
      <c r="F991" s="64"/>
      <c r="G991" s="83"/>
      <c r="H991" s="66"/>
    </row>
    <row r="992">
      <c r="F992" s="64"/>
      <c r="G992" s="83"/>
      <c r="H992" s="66"/>
    </row>
    <row r="993">
      <c r="F993" s="64"/>
      <c r="G993" s="83"/>
      <c r="H993" s="66"/>
    </row>
    <row r="994">
      <c r="F994" s="64"/>
      <c r="G994" s="83"/>
      <c r="H994" s="66"/>
    </row>
    <row r="995">
      <c r="F995" s="64"/>
      <c r="G995" s="83"/>
      <c r="H995" s="66"/>
    </row>
    <row r="996">
      <c r="F996" s="64"/>
      <c r="G996" s="83"/>
      <c r="H996" s="66"/>
    </row>
    <row r="997">
      <c r="F997" s="64"/>
      <c r="G997" s="83"/>
      <c r="H997" s="66"/>
    </row>
    <row r="998">
      <c r="F998" s="64"/>
      <c r="G998" s="83"/>
      <c r="H998" s="66"/>
    </row>
    <row r="999">
      <c r="F999" s="64"/>
      <c r="H999" s="66"/>
    </row>
    <row r="1000">
      <c r="F1000" s="64"/>
      <c r="H1000" s="6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0.05128205128</v>
      </c>
      <c r="E2" s="39">
        <v>1.623438032E9</v>
      </c>
      <c r="F2" s="64">
        <f>IFERROR(__xludf.DUMMYFUNCTION("INDEX(SPLIT(E2, char(10)), 0, 1)/86400+date(1970,1,1)"),44358.79203703704)</f>
        <v>44358.79204</v>
      </c>
      <c r="G2" s="84" t="s">
        <v>302</v>
      </c>
      <c r="H2" s="84" t="s">
        <v>303</v>
      </c>
      <c r="I2" s="39" t="s">
        <v>17</v>
      </c>
      <c r="J2" s="39"/>
    </row>
    <row r="3">
      <c r="A3" s="39" t="s">
        <v>14</v>
      </c>
      <c r="B3" s="39" t="s">
        <v>101</v>
      </c>
      <c r="C3" s="39">
        <f t="shared" si="1"/>
        <v>5</v>
      </c>
      <c r="D3" s="62">
        <f t="shared" si="2"/>
        <v>0.1282051282</v>
      </c>
      <c r="E3" s="39">
        <v>1.623438126E9</v>
      </c>
      <c r="F3" s="64">
        <f>IFERROR(__xludf.DUMMYFUNCTION("INDEX(SPLIT(E3, char(10)), 0, 1)/86400+date(1970,1,1)"),44358.793125)</f>
        <v>44358.79313</v>
      </c>
      <c r="G3" s="84" t="s">
        <v>304</v>
      </c>
      <c r="H3" s="84" t="s">
        <v>305</v>
      </c>
      <c r="I3" s="39" t="s">
        <v>15</v>
      </c>
      <c r="J3" s="39"/>
    </row>
    <row r="4">
      <c r="A4" s="39" t="s">
        <v>15</v>
      </c>
      <c r="B4" s="39" t="s">
        <v>104</v>
      </c>
      <c r="C4" s="39">
        <f t="shared" si="1"/>
        <v>12</v>
      </c>
      <c r="D4" s="62">
        <f t="shared" si="2"/>
        <v>0.3076923077</v>
      </c>
      <c r="E4" s="39">
        <v>1.623438292E9</v>
      </c>
      <c r="F4" s="64">
        <f>IFERROR(__xludf.DUMMYFUNCTION("INDEX(SPLIT(E4, char(10)), 0, 1)/86400+date(1970,1,1)"),44358.7950462963)</f>
        <v>44358.79505</v>
      </c>
      <c r="G4" s="84" t="s">
        <v>306</v>
      </c>
      <c r="H4" s="84" t="s">
        <v>307</v>
      </c>
      <c r="I4" s="39" t="s">
        <v>15</v>
      </c>
      <c r="J4" s="39"/>
    </row>
    <row r="5">
      <c r="A5" s="39" t="s">
        <v>16</v>
      </c>
      <c r="B5" s="39" t="s">
        <v>107</v>
      </c>
      <c r="C5" s="39">
        <f t="shared" si="1"/>
        <v>6</v>
      </c>
      <c r="D5" s="62">
        <f t="shared" si="2"/>
        <v>0.1538461538</v>
      </c>
      <c r="E5" s="39">
        <v>1.623438655E9</v>
      </c>
      <c r="F5" s="64">
        <f>IFERROR(__xludf.DUMMYFUNCTION("INDEX(SPLIT(E5, char(10)), 0, 1)/86400+date(1970,1,1)"),44358.79924768519)</f>
        <v>44358.79925</v>
      </c>
      <c r="G5" s="84" t="s">
        <v>308</v>
      </c>
      <c r="H5" s="84" t="s">
        <v>309</v>
      </c>
      <c r="I5" s="39" t="s">
        <v>15</v>
      </c>
      <c r="J5" s="39"/>
    </row>
    <row r="6">
      <c r="A6" s="39" t="s">
        <v>17</v>
      </c>
      <c r="B6" s="39" t="s">
        <v>110</v>
      </c>
      <c r="C6" s="39">
        <f t="shared" si="1"/>
        <v>14</v>
      </c>
      <c r="D6" s="62">
        <f t="shared" si="2"/>
        <v>0.358974359</v>
      </c>
      <c r="E6" s="39">
        <v>1.62343894E9</v>
      </c>
      <c r="F6" s="64">
        <f>IFERROR(__xludf.DUMMYFUNCTION("INDEX(SPLIT(E6, char(10)), 0, 1)/86400+date(1970,1,1)"),44358.8025462963)</f>
        <v>44358.80255</v>
      </c>
      <c r="G6" s="84" t="s">
        <v>310</v>
      </c>
      <c r="H6" s="84" t="s">
        <v>311</v>
      </c>
      <c r="I6" s="39" t="s">
        <v>15</v>
      </c>
    </row>
    <row r="7">
      <c r="B7" s="39" t="s">
        <v>13</v>
      </c>
      <c r="C7" s="67">
        <f t="shared" ref="C7:D7" si="3">SUM(C2:C6)</f>
        <v>39</v>
      </c>
      <c r="D7" s="68">
        <f t="shared" si="3"/>
        <v>1</v>
      </c>
      <c r="E7" s="39">
        <v>1.623439094E9</v>
      </c>
      <c r="F7" s="64">
        <f>IFERROR(__xludf.DUMMYFUNCTION("INDEX(SPLIT(E7, char(10)), 0, 1)/86400+date(1970,1,1)"),44358.8043287037)</f>
        <v>44358.80433</v>
      </c>
      <c r="G7" s="84" t="s">
        <v>312</v>
      </c>
      <c r="H7" s="84" t="s">
        <v>313</v>
      </c>
      <c r="I7" s="39" t="s">
        <v>17</v>
      </c>
    </row>
    <row r="8">
      <c r="A8" s="69"/>
      <c r="B8" s="39" t="s">
        <v>18</v>
      </c>
      <c r="C8" s="55">
        <f t="shared" ref="C8:D8" si="4">SUM(C5:C6)</f>
        <v>20</v>
      </c>
      <c r="D8" s="13">
        <f t="shared" si="4"/>
        <v>0.5128205128</v>
      </c>
      <c r="E8" s="39">
        <v>1.623439209E9</v>
      </c>
      <c r="F8" s="64">
        <f>IFERROR(__xludf.DUMMYFUNCTION("INDEX(SPLIT(E8, char(10)), 0, 1)/86400+date(1970,1,1)"),44358.805659722224)</f>
        <v>44358.80566</v>
      </c>
      <c r="G8" s="84" t="s">
        <v>314</v>
      </c>
      <c r="H8" s="84" t="s">
        <v>315</v>
      </c>
      <c r="I8" s="39" t="s">
        <v>17</v>
      </c>
    </row>
    <row r="9">
      <c r="A9" s="69"/>
      <c r="B9" s="39" t="s">
        <v>47</v>
      </c>
      <c r="C9" s="55">
        <f>SUM(C6:C7)</f>
        <v>53</v>
      </c>
      <c r="D9" s="13">
        <f>SUM(D5:D6) + D2</f>
        <v>0.5641025641</v>
      </c>
      <c r="E9" s="39">
        <v>1.623439335E9</v>
      </c>
      <c r="F9" s="64">
        <f>IFERROR(__xludf.DUMMYFUNCTION("INDEX(SPLIT(E9, char(10)), 0, 1)/86400+date(1970,1,1)"),44358.807118055556)</f>
        <v>44358.80712</v>
      </c>
      <c r="G9" s="84" t="s">
        <v>316</v>
      </c>
      <c r="H9" s="84" t="s">
        <v>317</v>
      </c>
      <c r="I9" s="39" t="s">
        <v>17</v>
      </c>
    </row>
    <row r="10">
      <c r="A10" s="69"/>
      <c r="B10" s="69"/>
      <c r="C10" s="69"/>
      <c r="D10" s="69"/>
      <c r="E10" s="39">
        <v>1.623439691E9</v>
      </c>
      <c r="F10" s="64">
        <f>IFERROR(__xludf.DUMMYFUNCTION("INDEX(SPLIT(E10, char(10)), 0, 1)/86400+date(1970,1,1)"),44358.81123842593)</f>
        <v>44358.81124</v>
      </c>
      <c r="G10" s="84" t="s">
        <v>318</v>
      </c>
      <c r="H10" s="84" t="s">
        <v>319</v>
      </c>
      <c r="I10" s="39" t="s">
        <v>17</v>
      </c>
    </row>
    <row r="11">
      <c r="A11" s="69"/>
      <c r="B11" s="69"/>
      <c r="C11" s="69"/>
      <c r="D11" s="69"/>
      <c r="E11" s="39">
        <v>1.623439894E9</v>
      </c>
      <c r="F11" s="64">
        <f>IFERROR(__xludf.DUMMYFUNCTION("INDEX(SPLIT(E11, char(10)), 0, 1)/86400+date(1970,1,1)"),44358.81358796296)</f>
        <v>44358.81359</v>
      </c>
      <c r="G11" s="84" t="s">
        <v>320</v>
      </c>
      <c r="H11" s="84" t="s">
        <v>321</v>
      </c>
      <c r="I11" s="39" t="s">
        <v>17</v>
      </c>
    </row>
    <row r="12">
      <c r="A12" s="70" t="s">
        <v>123</v>
      </c>
      <c r="B12" s="85" t="s">
        <v>322</v>
      </c>
      <c r="C12" s="86"/>
      <c r="D12" s="72"/>
      <c r="E12" s="39">
        <v>1.623440031E9</v>
      </c>
      <c r="F12" s="64">
        <f>IFERROR(__xludf.DUMMYFUNCTION("INDEX(SPLIT(E12, char(10)), 0, 1)/86400+date(1970,1,1)"),44358.81517361111)</f>
        <v>44358.81517</v>
      </c>
      <c r="G12" s="84" t="s">
        <v>323</v>
      </c>
      <c r="H12" s="84" t="s">
        <v>324</v>
      </c>
      <c r="I12" s="39" t="s">
        <v>17</v>
      </c>
    </row>
    <row r="13">
      <c r="A13" s="70" t="s">
        <v>127</v>
      </c>
      <c r="B13" s="72"/>
      <c r="C13" s="70" t="s">
        <v>91</v>
      </c>
      <c r="D13" s="70" t="s">
        <v>92</v>
      </c>
      <c r="E13" s="39">
        <v>1.623440661E9</v>
      </c>
      <c r="F13" s="64">
        <f>IFERROR(__xludf.DUMMYFUNCTION("INDEX(SPLIT(E13, char(10)), 0, 1)/86400+date(1970,1,1)"),44358.82246527778)</f>
        <v>44358.82247</v>
      </c>
      <c r="G13" s="84" t="s">
        <v>325</v>
      </c>
      <c r="H13" s="84" t="s">
        <v>326</v>
      </c>
      <c r="I13" s="39" t="s">
        <v>17</v>
      </c>
    </row>
    <row r="14">
      <c r="A14" s="5" t="s">
        <v>130</v>
      </c>
      <c r="B14" s="5" t="s">
        <v>131</v>
      </c>
      <c r="C14" s="73">
        <f t="shared" ref="C14:C17" si="5">COUNTIF($A$19:$A1000, A14)</f>
        <v>3</v>
      </c>
      <c r="D14" s="74">
        <f>IFERROR(__xludf.DUMMYFUNCTION("IF(C14, COUNTIF(FILTER($D$19:$D1000, $A$19:$A1000=A14), TRUE)/C14, 0)"),1.0)</f>
        <v>1</v>
      </c>
      <c r="E14" s="39">
        <v>1.623440753E9</v>
      </c>
      <c r="F14" s="64">
        <f>IFERROR(__xludf.DUMMYFUNCTION("INDEX(SPLIT(E14, char(10)), 0, 1)/86400+date(1970,1,1)"),44358.82353009259)</f>
        <v>44358.82353</v>
      </c>
      <c r="G14" s="84" t="s">
        <v>327</v>
      </c>
      <c r="H14" s="84" t="s">
        <v>328</v>
      </c>
      <c r="I14" s="39" t="s">
        <v>17</v>
      </c>
    </row>
    <row r="15">
      <c r="A15" s="5" t="s">
        <v>6</v>
      </c>
      <c r="B15" s="5" t="s">
        <v>134</v>
      </c>
      <c r="C15" s="73">
        <f t="shared" si="5"/>
        <v>2</v>
      </c>
      <c r="D15" s="74">
        <f>IFERROR(__xludf.DUMMYFUNCTION("IF(C15, COUNTIF(FILTER($D$19:$D1000, $A$19:$A1000=A15), TRUE)/C15, 0)"),0.5)</f>
        <v>0.5</v>
      </c>
      <c r="E15" s="39">
        <v>1.623440939E9</v>
      </c>
      <c r="F15" s="64">
        <f>IFERROR(__xludf.DUMMYFUNCTION("INDEX(SPLIT(E15, char(10)), 0, 1)/86400+date(1970,1,1)"),44358.825682870374)</f>
        <v>44358.82568</v>
      </c>
      <c r="G15" s="84" t="s">
        <v>329</v>
      </c>
      <c r="H15" s="84" t="s">
        <v>330</v>
      </c>
      <c r="I15" s="39" t="s">
        <v>15</v>
      </c>
    </row>
    <row r="16">
      <c r="A16" s="5" t="s">
        <v>7</v>
      </c>
      <c r="B16" s="5" t="s">
        <v>137</v>
      </c>
      <c r="C16" s="73">
        <f t="shared" si="5"/>
        <v>4</v>
      </c>
      <c r="D16" s="74">
        <f>IFERROR(__xludf.DUMMYFUNCTION("IF(C16, COUNTIF(FILTER($D$19:$D1000, $A$19:$A1000=A16), TRUE)/C16, 0)"),0.5)</f>
        <v>0.5</v>
      </c>
      <c r="E16" s="39">
        <v>1.623441039E9</v>
      </c>
      <c r="F16" s="64">
        <f>IFERROR(__xludf.DUMMYFUNCTION("INDEX(SPLIT(E16, char(10)), 0, 1)/86400+date(1970,1,1)"),44358.826840277776)</f>
        <v>44358.82684</v>
      </c>
      <c r="G16" s="84" t="s">
        <v>331</v>
      </c>
      <c r="H16" s="84" t="s">
        <v>332</v>
      </c>
      <c r="I16" s="39" t="s">
        <v>14</v>
      </c>
    </row>
    <row r="17">
      <c r="A17" s="5" t="s">
        <v>8</v>
      </c>
      <c r="B17" s="5" t="s">
        <v>79</v>
      </c>
      <c r="C17" s="73">
        <f t="shared" si="5"/>
        <v>9</v>
      </c>
      <c r="D17" s="74">
        <f>IFERROR(__xludf.DUMMYFUNCTION("IF(C17, COUNTIF(FILTER($D$19:$D1000, $A$19:$A1000=A17), TRUE)/C17, 0)"),0.4444444444444444)</f>
        <v>0.4444444444</v>
      </c>
      <c r="E17" s="39">
        <v>1.623441179E9</v>
      </c>
      <c r="F17" s="64">
        <f>IFERROR(__xludf.DUMMYFUNCTION("INDEX(SPLIT(E17, char(10)), 0, 1)/86400+date(1970,1,1)"),44358.82846064815)</f>
        <v>44358.82846</v>
      </c>
      <c r="G17" s="84" t="s">
        <v>333</v>
      </c>
      <c r="H17" s="84" t="s">
        <v>334</v>
      </c>
      <c r="I17" s="39" t="s">
        <v>15</v>
      </c>
    </row>
    <row r="18">
      <c r="A18" s="72"/>
      <c r="B18" s="70" t="s">
        <v>9</v>
      </c>
      <c r="C18" s="73">
        <f>SUM(C14:C17)</f>
        <v>18</v>
      </c>
      <c r="D18" s="74">
        <f>COUNTIF($D$19:$D1000, TRUE)/SUM($C$14:$C$17)</f>
        <v>0.5555555556</v>
      </c>
      <c r="E18" s="39">
        <v>1.623441345E9</v>
      </c>
      <c r="F18" s="64">
        <f>IFERROR(__xludf.DUMMYFUNCTION("INDEX(SPLIT(E18, char(10)), 0, 1)/86400+date(1970,1,1)"),44358.83038194444)</f>
        <v>44358.83038</v>
      </c>
      <c r="G18" s="84" t="s">
        <v>335</v>
      </c>
      <c r="H18" s="84" t="s">
        <v>336</v>
      </c>
      <c r="I18" s="39" t="s">
        <v>15</v>
      </c>
    </row>
    <row r="19">
      <c r="A19" s="75" t="s">
        <v>7</v>
      </c>
      <c r="B19" s="75" t="s">
        <v>149</v>
      </c>
      <c r="C19" s="76">
        <v>1.0</v>
      </c>
      <c r="D19" s="78" t="b">
        <v>0</v>
      </c>
      <c r="E19" s="39">
        <v>1.623441623E9</v>
      </c>
      <c r="F19" s="64">
        <f>IFERROR(__xludf.DUMMYFUNCTION("INDEX(SPLIT(E19, char(10)), 0, 1)/86400+date(1970,1,1)"),44358.833599537036)</f>
        <v>44358.8336</v>
      </c>
      <c r="G19" s="84" t="s">
        <v>310</v>
      </c>
      <c r="H19" s="84" t="s">
        <v>337</v>
      </c>
      <c r="I19" s="39" t="s">
        <v>14</v>
      </c>
    </row>
    <row r="20">
      <c r="A20" s="75" t="s">
        <v>7</v>
      </c>
      <c r="B20" s="75" t="s">
        <v>155</v>
      </c>
      <c r="C20" s="76">
        <v>45.0</v>
      </c>
      <c r="D20" s="78" t="b">
        <v>0</v>
      </c>
      <c r="E20" s="39">
        <v>1.623441741E9</v>
      </c>
      <c r="F20" s="64">
        <f>IFERROR(__xludf.DUMMYFUNCTION("INDEX(SPLIT(E20, char(10)), 0, 1)/86400+date(1970,1,1)"),44358.834965277776)</f>
        <v>44358.83497</v>
      </c>
      <c r="G20" s="84" t="s">
        <v>338</v>
      </c>
      <c r="H20" s="84" t="s">
        <v>339</v>
      </c>
      <c r="I20" s="39" t="s">
        <v>16</v>
      </c>
    </row>
    <row r="21">
      <c r="A21" s="75" t="s">
        <v>7</v>
      </c>
      <c r="B21" s="75" t="s">
        <v>158</v>
      </c>
      <c r="C21" s="76">
        <v>45.0</v>
      </c>
      <c r="D21" s="78" t="b">
        <v>1</v>
      </c>
      <c r="E21" s="39">
        <v>1.623441893E9</v>
      </c>
      <c r="F21" s="64">
        <f>IFERROR(__xludf.DUMMYFUNCTION("INDEX(SPLIT(E21, char(10)), 0, 1)/86400+date(1970,1,1)"),44358.83672453703)</f>
        <v>44358.83672</v>
      </c>
      <c r="G21" s="84" t="s">
        <v>320</v>
      </c>
      <c r="H21" s="84" t="s">
        <v>340</v>
      </c>
      <c r="I21" s="39" t="s">
        <v>17</v>
      </c>
    </row>
    <row r="22">
      <c r="A22" s="75" t="s">
        <v>8</v>
      </c>
      <c r="B22" s="75" t="s">
        <v>341</v>
      </c>
      <c r="C22" s="76">
        <v>46.0</v>
      </c>
      <c r="D22" s="78" t="b">
        <v>1</v>
      </c>
      <c r="E22" s="39">
        <v>1.623442217E9</v>
      </c>
      <c r="F22" s="64">
        <f>IFERROR(__xludf.DUMMYFUNCTION("INDEX(SPLIT(E22, char(10)), 0, 1)/86400+date(1970,1,1)"),44358.840474537035)</f>
        <v>44358.84047</v>
      </c>
      <c r="G22" s="84" t="s">
        <v>342</v>
      </c>
      <c r="H22" s="84" t="s">
        <v>343</v>
      </c>
      <c r="I22" s="39" t="s">
        <v>14</v>
      </c>
    </row>
    <row r="23">
      <c r="A23" s="75" t="s">
        <v>8</v>
      </c>
      <c r="B23" s="75" t="s">
        <v>344</v>
      </c>
      <c r="C23" s="76">
        <v>46.0</v>
      </c>
      <c r="D23" s="78" t="b">
        <v>1</v>
      </c>
      <c r="E23" s="39">
        <v>1.623442326E9</v>
      </c>
      <c r="F23" s="64">
        <f>IFERROR(__xludf.DUMMYFUNCTION("INDEX(SPLIT(E23, char(10)), 0, 1)/86400+date(1970,1,1)"),44358.841736111106)</f>
        <v>44358.84174</v>
      </c>
      <c r="G23" s="84" t="s">
        <v>345</v>
      </c>
      <c r="H23" s="84" t="s">
        <v>346</v>
      </c>
      <c r="I23" s="39" t="s">
        <v>16</v>
      </c>
    </row>
    <row r="24">
      <c r="A24" s="5" t="s">
        <v>130</v>
      </c>
      <c r="B24" s="5" t="s">
        <v>347</v>
      </c>
      <c r="C24" s="76">
        <v>53.0</v>
      </c>
      <c r="D24" s="78" t="b">
        <v>1</v>
      </c>
      <c r="E24" s="39">
        <v>1.623442471E9</v>
      </c>
      <c r="F24" s="64">
        <f>IFERROR(__xludf.DUMMYFUNCTION("INDEX(SPLIT(E24, char(10)), 0, 1)/86400+date(1970,1,1)"),44358.84341435185)</f>
        <v>44358.84341</v>
      </c>
      <c r="G24" s="84" t="s">
        <v>348</v>
      </c>
      <c r="H24" s="84" t="s">
        <v>349</v>
      </c>
      <c r="I24" s="39" t="s">
        <v>15</v>
      </c>
    </row>
    <row r="25">
      <c r="A25" s="75" t="s">
        <v>8</v>
      </c>
      <c r="B25" s="72" t="s">
        <v>350</v>
      </c>
      <c r="C25" s="76">
        <v>64.0</v>
      </c>
      <c r="D25" s="78" t="b">
        <v>0</v>
      </c>
      <c r="E25" s="39">
        <v>1.623442585E9</v>
      </c>
      <c r="F25" s="64">
        <f>IFERROR(__xludf.DUMMYFUNCTION("INDEX(SPLIT(E25, char(10)), 0, 1)/86400+date(1970,1,1)"),44358.8447337963)</f>
        <v>44358.84473</v>
      </c>
      <c r="G25" s="84" t="s">
        <v>351</v>
      </c>
      <c r="H25" s="84" t="s">
        <v>352</v>
      </c>
      <c r="I25" s="39" t="s">
        <v>15</v>
      </c>
    </row>
    <row r="26">
      <c r="A26" s="75" t="s">
        <v>8</v>
      </c>
      <c r="B26" s="72" t="s">
        <v>353</v>
      </c>
      <c r="C26" s="76">
        <v>65.0</v>
      </c>
      <c r="D26" s="78" t="b">
        <v>0</v>
      </c>
      <c r="E26" s="39">
        <v>1.623442758E9</v>
      </c>
      <c r="F26" s="64">
        <f>IFERROR(__xludf.DUMMYFUNCTION("INDEX(SPLIT(E26, char(10)), 0, 1)/86400+date(1970,1,1)"),44358.84673611111)</f>
        <v>44358.84674</v>
      </c>
      <c r="G26" s="84" t="s">
        <v>354</v>
      </c>
      <c r="H26" s="84" t="s">
        <v>355</v>
      </c>
      <c r="I26" s="39" t="s">
        <v>15</v>
      </c>
    </row>
    <row r="27">
      <c r="A27" s="75" t="s">
        <v>130</v>
      </c>
      <c r="B27" s="72" t="s">
        <v>356</v>
      </c>
      <c r="C27" s="76">
        <v>66.0</v>
      </c>
      <c r="D27" s="78" t="b">
        <v>1</v>
      </c>
      <c r="E27" s="39">
        <v>1.623443036E9</v>
      </c>
      <c r="F27" s="64">
        <f>IFERROR(__xludf.DUMMYFUNCTION("INDEX(SPLIT(E27, char(10)), 0, 1)/86400+date(1970,1,1)"),44358.8499537037)</f>
        <v>44358.84995</v>
      </c>
      <c r="G27" s="84" t="s">
        <v>357</v>
      </c>
      <c r="H27" s="84" t="s">
        <v>358</v>
      </c>
      <c r="I27" s="39" t="s">
        <v>16</v>
      </c>
    </row>
    <row r="28">
      <c r="A28" s="75" t="s">
        <v>8</v>
      </c>
      <c r="B28" s="72" t="s">
        <v>359</v>
      </c>
      <c r="C28" s="76">
        <v>74.0</v>
      </c>
      <c r="D28" s="78" t="b">
        <v>0</v>
      </c>
      <c r="E28" s="39">
        <v>1.62344313E9</v>
      </c>
      <c r="F28" s="64">
        <f>IFERROR(__xludf.DUMMYFUNCTION("INDEX(SPLIT(E28, char(10)), 0, 1)/86400+date(1970,1,1)"),44358.85104166667)</f>
        <v>44358.85104</v>
      </c>
      <c r="G28" s="84" t="s">
        <v>360</v>
      </c>
      <c r="H28" s="84" t="s">
        <v>361</v>
      </c>
      <c r="I28" s="39" t="s">
        <v>15</v>
      </c>
    </row>
    <row r="29">
      <c r="A29" s="75" t="s">
        <v>8</v>
      </c>
      <c r="B29" s="72" t="s">
        <v>362</v>
      </c>
      <c r="C29" s="76">
        <v>76.0</v>
      </c>
      <c r="D29" s="78" t="b">
        <v>0</v>
      </c>
      <c r="E29" s="39">
        <v>1.623443248E9</v>
      </c>
      <c r="F29" s="64">
        <f>IFERROR(__xludf.DUMMYFUNCTION("INDEX(SPLIT(E29, char(10)), 0, 1)/86400+date(1970,1,1)"),44358.85240740741)</f>
        <v>44358.85241</v>
      </c>
      <c r="G29" s="84" t="s">
        <v>363</v>
      </c>
      <c r="H29" s="84" t="s">
        <v>364</v>
      </c>
      <c r="I29" s="39" t="s">
        <v>17</v>
      </c>
    </row>
    <row r="30">
      <c r="A30" s="75" t="s">
        <v>130</v>
      </c>
      <c r="B30" s="72" t="s">
        <v>365</v>
      </c>
      <c r="C30" s="76">
        <v>79.0</v>
      </c>
      <c r="D30" s="78" t="b">
        <v>1</v>
      </c>
      <c r="E30" s="39">
        <v>1.623443503E9</v>
      </c>
      <c r="F30" s="64">
        <f>IFERROR(__xludf.DUMMYFUNCTION("INDEX(SPLIT(E30, char(10)), 0, 1)/86400+date(1970,1,1)"),44358.855358796296)</f>
        <v>44358.85536</v>
      </c>
      <c r="G30" s="84" t="s">
        <v>366</v>
      </c>
      <c r="H30" s="84" t="s">
        <v>367</v>
      </c>
      <c r="I30" s="39" t="s">
        <v>17</v>
      </c>
    </row>
    <row r="31">
      <c r="A31" s="75" t="s">
        <v>8</v>
      </c>
      <c r="B31" s="72" t="s">
        <v>368</v>
      </c>
      <c r="C31" s="76">
        <v>81.0</v>
      </c>
      <c r="D31" s="78" t="b">
        <v>1</v>
      </c>
      <c r="E31" s="39">
        <v>1.623443654E9</v>
      </c>
      <c r="F31" s="64">
        <f>IFERROR(__xludf.DUMMYFUNCTION("INDEX(SPLIT(E31, char(10)), 0, 1)/86400+date(1970,1,1)"),44358.85710648148)</f>
        <v>44358.85711</v>
      </c>
      <c r="G31" s="84" t="s">
        <v>369</v>
      </c>
      <c r="H31" s="84" t="s">
        <v>370</v>
      </c>
      <c r="I31" s="39" t="s">
        <v>15</v>
      </c>
    </row>
    <row r="32">
      <c r="A32" s="75" t="s">
        <v>8</v>
      </c>
      <c r="B32" s="72" t="s">
        <v>371</v>
      </c>
      <c r="C32" s="76">
        <v>81.0</v>
      </c>
      <c r="D32" s="78" t="b">
        <v>1</v>
      </c>
      <c r="E32" s="39">
        <v>1.623443807E9</v>
      </c>
      <c r="F32" s="64">
        <f>IFERROR(__xludf.DUMMYFUNCTION("INDEX(SPLIT(E32, char(10)), 0, 1)/86400+date(1970,1,1)"),44358.858877314815)</f>
        <v>44358.85888</v>
      </c>
      <c r="G32" s="84" t="s">
        <v>372</v>
      </c>
      <c r="H32" s="84" t="s">
        <v>373</v>
      </c>
      <c r="I32" s="39" t="s">
        <v>16</v>
      </c>
    </row>
    <row r="33">
      <c r="A33" s="75" t="s">
        <v>8</v>
      </c>
      <c r="B33" s="72" t="s">
        <v>374</v>
      </c>
      <c r="C33" s="76">
        <v>85.0</v>
      </c>
      <c r="D33" s="78" t="b">
        <v>0</v>
      </c>
      <c r="E33" s="39">
        <v>1.623443897E9</v>
      </c>
      <c r="F33" s="64">
        <f>IFERROR(__xludf.DUMMYFUNCTION("INDEX(SPLIT(E33, char(10)), 0, 1)/86400+date(1970,1,1)"),44358.859918981485)</f>
        <v>44358.85992</v>
      </c>
      <c r="G33" s="84" t="s">
        <v>375</v>
      </c>
      <c r="H33" s="84" t="s">
        <v>376</v>
      </c>
      <c r="I33" s="39" t="s">
        <v>17</v>
      </c>
    </row>
    <row r="34">
      <c r="A34" s="75" t="s">
        <v>6</v>
      </c>
      <c r="B34" s="72" t="s">
        <v>377</v>
      </c>
      <c r="C34" s="76">
        <v>88.0</v>
      </c>
      <c r="D34" s="78" t="b">
        <v>1</v>
      </c>
      <c r="E34" s="39">
        <v>1.623443988E9</v>
      </c>
      <c r="F34" s="64">
        <f>IFERROR(__xludf.DUMMYFUNCTION("INDEX(SPLIT(E34, char(10)), 0, 1)/86400+date(1970,1,1)"),44358.86097222222)</f>
        <v>44358.86097</v>
      </c>
      <c r="G34" s="84" t="s">
        <v>378</v>
      </c>
      <c r="H34" s="84" t="s">
        <v>379</v>
      </c>
      <c r="I34" s="39" t="s">
        <v>75</v>
      </c>
    </row>
    <row r="35">
      <c r="A35" s="75" t="s">
        <v>6</v>
      </c>
      <c r="B35" s="72" t="s">
        <v>380</v>
      </c>
      <c r="C35" s="76">
        <v>90.0</v>
      </c>
      <c r="D35" s="78" t="b">
        <v>0</v>
      </c>
      <c r="E35" s="39">
        <v>1.623444098E9</v>
      </c>
      <c r="F35" s="64">
        <f>IFERROR(__xludf.DUMMYFUNCTION("INDEX(SPLIT(E35, char(10)), 0, 1)/86400+date(1970,1,1)"),44358.86224537037)</f>
        <v>44358.86225</v>
      </c>
      <c r="G35" s="84" t="s">
        <v>381</v>
      </c>
      <c r="H35" s="84" t="s">
        <v>382</v>
      </c>
      <c r="I35" s="39" t="s">
        <v>14</v>
      </c>
    </row>
    <row r="36">
      <c r="A36" s="75" t="s">
        <v>7</v>
      </c>
      <c r="B36" s="72" t="s">
        <v>183</v>
      </c>
      <c r="C36" s="76">
        <v>90.0</v>
      </c>
      <c r="D36" s="78" t="b">
        <v>1</v>
      </c>
      <c r="E36" s="39">
        <v>1.623444195E9</v>
      </c>
      <c r="F36" s="64">
        <f>IFERROR(__xludf.DUMMYFUNCTION("INDEX(SPLIT(E36, char(10)), 0, 1)/86400+date(1970,1,1)"),44358.86336805555)</f>
        <v>44358.86337</v>
      </c>
      <c r="G36" s="84" t="s">
        <v>383</v>
      </c>
      <c r="H36" s="84" t="s">
        <v>384</v>
      </c>
      <c r="I36" s="39" t="s">
        <v>14</v>
      </c>
    </row>
    <row r="37">
      <c r="A37" s="75"/>
      <c r="B37" s="72"/>
      <c r="C37" s="76"/>
      <c r="D37" s="77"/>
      <c r="E37" s="39">
        <v>1.62344434E9</v>
      </c>
      <c r="F37" s="64">
        <f>IFERROR(__xludf.DUMMYFUNCTION("INDEX(SPLIT(E37, char(10)), 0, 1)/86400+date(1970,1,1)"),44358.8650462963)</f>
        <v>44358.86505</v>
      </c>
      <c r="G37" s="84" t="s">
        <v>385</v>
      </c>
      <c r="H37" s="84" t="s">
        <v>386</v>
      </c>
      <c r="I37" s="39" t="s">
        <v>16</v>
      </c>
    </row>
    <row r="38">
      <c r="A38" s="75"/>
      <c r="B38" s="72"/>
      <c r="C38" s="76"/>
      <c r="D38" s="77"/>
      <c r="E38" s="39">
        <v>1.623444517E9</v>
      </c>
      <c r="F38" s="64">
        <f>IFERROR(__xludf.DUMMYFUNCTION("INDEX(SPLIT(E38, char(10)), 0, 1)/86400+date(1970,1,1)"),44358.86709490741)</f>
        <v>44358.86709</v>
      </c>
      <c r="G38" s="84" t="s">
        <v>387</v>
      </c>
      <c r="H38" s="84" t="s">
        <v>388</v>
      </c>
      <c r="I38" s="39" t="s">
        <v>75</v>
      </c>
    </row>
    <row r="39">
      <c r="A39" s="75"/>
      <c r="B39" s="72"/>
      <c r="C39" s="76"/>
      <c r="D39" s="77"/>
      <c r="E39" s="39">
        <v>1.623444619E9</v>
      </c>
      <c r="F39" s="64">
        <f>IFERROR(__xludf.DUMMYFUNCTION("INDEX(SPLIT(E39, char(10)), 0, 1)/86400+date(1970,1,1)"),44358.86827546296)</f>
        <v>44358.86828</v>
      </c>
      <c r="G39" s="84" t="s">
        <v>389</v>
      </c>
      <c r="H39" s="84" t="s">
        <v>390</v>
      </c>
      <c r="I39" s="39" t="s">
        <v>17</v>
      </c>
    </row>
    <row r="40">
      <c r="A40" s="75"/>
      <c r="B40" s="72"/>
      <c r="C40" s="76"/>
      <c r="D40" s="77"/>
      <c r="E40" s="39">
        <v>1.623444726E9</v>
      </c>
      <c r="F40" s="64">
        <f>IFERROR(__xludf.DUMMYFUNCTION("INDEX(SPLIT(E40, char(10)), 0, 1)/86400+date(1970,1,1)"),44358.86951388889)</f>
        <v>44358.86951</v>
      </c>
      <c r="G40" s="84" t="s">
        <v>391</v>
      </c>
      <c r="H40" s="84" t="s">
        <v>392</v>
      </c>
      <c r="I40" s="39" t="s">
        <v>16</v>
      </c>
    </row>
    <row r="41">
      <c r="A41" s="75"/>
      <c r="B41" s="72"/>
      <c r="C41" s="76"/>
      <c r="D41" s="77"/>
      <c r="E41" s="82"/>
      <c r="F41" s="64"/>
      <c r="G41" s="81"/>
      <c r="H41" s="81"/>
      <c r="I41" s="40"/>
    </row>
    <row r="42">
      <c r="A42" s="75"/>
      <c r="B42" s="72"/>
      <c r="C42" s="76"/>
      <c r="D42" s="78"/>
      <c r="E42" s="82"/>
      <c r="F42" s="64"/>
      <c r="G42" s="81"/>
      <c r="H42" s="81"/>
      <c r="I42" s="40"/>
    </row>
    <row r="43">
      <c r="A43" s="69"/>
      <c r="B43" s="69"/>
      <c r="C43" s="69"/>
      <c r="D43" s="69"/>
      <c r="E43" s="82"/>
      <c r="F43" s="64"/>
      <c r="G43" s="81"/>
      <c r="H43" s="84"/>
      <c r="I43" s="40"/>
    </row>
    <row r="44">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0.08333333333</v>
      </c>
      <c r="E2" s="39">
        <v>1.623438063E9</v>
      </c>
      <c r="F2" s="64">
        <f>IFERROR(__xludf.DUMMYFUNCTION("INDEX(SPLIT(E2, char(10)), 0, 1)/86400+date(1970,1,1)"),44358.792395833334)</f>
        <v>44358.7924</v>
      </c>
      <c r="G2" s="39" t="s">
        <v>393</v>
      </c>
      <c r="H2" s="84" t="s">
        <v>394</v>
      </c>
      <c r="I2" s="39" t="s">
        <v>17</v>
      </c>
      <c r="J2" s="39"/>
    </row>
    <row r="3">
      <c r="A3" s="39" t="s">
        <v>14</v>
      </c>
      <c r="B3" s="39" t="s">
        <v>101</v>
      </c>
      <c r="C3" s="39">
        <f t="shared" si="1"/>
        <v>0</v>
      </c>
      <c r="D3" s="62">
        <f t="shared" si="2"/>
        <v>0</v>
      </c>
      <c r="E3" s="39">
        <v>1.623439124E9</v>
      </c>
      <c r="F3" s="64">
        <f>IFERROR(__xludf.DUMMYFUNCTION("INDEX(SPLIT(E3, char(10)), 0, 1)/86400+date(1970,1,1)"),44358.80467592593)</f>
        <v>44358.80468</v>
      </c>
      <c r="G3" s="39" t="s">
        <v>395</v>
      </c>
      <c r="H3" s="84" t="s">
        <v>396</v>
      </c>
      <c r="I3" s="39" t="s">
        <v>17</v>
      </c>
      <c r="J3" s="39"/>
    </row>
    <row r="4">
      <c r="A4" s="39" t="s">
        <v>15</v>
      </c>
      <c r="B4" s="39" t="s">
        <v>104</v>
      </c>
      <c r="C4" s="39">
        <f t="shared" si="1"/>
        <v>4</v>
      </c>
      <c r="D4" s="62">
        <f t="shared" si="2"/>
        <v>0.1666666667</v>
      </c>
      <c r="E4" s="39">
        <v>1.623439324E9</v>
      </c>
      <c r="F4" s="64">
        <f>IFERROR(__xludf.DUMMYFUNCTION("INDEX(SPLIT(E4, char(10)), 0, 1)/86400+date(1970,1,1)"),44358.80699074074)</f>
        <v>44358.80699</v>
      </c>
      <c r="G4" s="39" t="s">
        <v>397</v>
      </c>
      <c r="H4" s="84" t="s">
        <v>398</v>
      </c>
      <c r="I4" s="39" t="s">
        <v>17</v>
      </c>
      <c r="J4" s="39"/>
    </row>
    <row r="5">
      <c r="A5" s="39" t="s">
        <v>16</v>
      </c>
      <c r="B5" s="39" t="s">
        <v>107</v>
      </c>
      <c r="C5" s="39">
        <f t="shared" si="1"/>
        <v>6</v>
      </c>
      <c r="D5" s="62">
        <f t="shared" si="2"/>
        <v>0.25</v>
      </c>
      <c r="E5" s="39">
        <v>1.623439448E9</v>
      </c>
      <c r="F5" s="64">
        <f>IFERROR(__xludf.DUMMYFUNCTION("INDEX(SPLIT(E5, char(10)), 0, 1)/86400+date(1970,1,1)"),44358.80842592593)</f>
        <v>44358.80843</v>
      </c>
      <c r="G5" s="39" t="s">
        <v>399</v>
      </c>
      <c r="H5" s="84" t="s">
        <v>400</v>
      </c>
      <c r="I5" s="39" t="s">
        <v>17</v>
      </c>
      <c r="J5" s="39"/>
    </row>
    <row r="6">
      <c r="A6" s="39" t="s">
        <v>17</v>
      </c>
      <c r="B6" s="39" t="s">
        <v>110</v>
      </c>
      <c r="C6" s="39">
        <f t="shared" si="1"/>
        <v>12</v>
      </c>
      <c r="D6" s="62">
        <f t="shared" si="2"/>
        <v>0.5</v>
      </c>
      <c r="E6" s="39">
        <v>1.623439691E9</v>
      </c>
      <c r="F6" s="64">
        <f>IFERROR(__xludf.DUMMYFUNCTION("INDEX(SPLIT(E6, char(10)), 0, 1)/86400+date(1970,1,1)"),44358.81123842593)</f>
        <v>44358.81124</v>
      </c>
      <c r="G6" s="39" t="s">
        <v>401</v>
      </c>
      <c r="H6" s="84" t="s">
        <v>402</v>
      </c>
      <c r="I6" s="39" t="s">
        <v>17</v>
      </c>
    </row>
    <row r="7">
      <c r="B7" s="39" t="s">
        <v>13</v>
      </c>
      <c r="C7" s="67">
        <f t="shared" ref="C7:D7" si="3">SUM(C2:C6)</f>
        <v>24</v>
      </c>
      <c r="D7" s="68">
        <f t="shared" si="3"/>
        <v>1</v>
      </c>
      <c r="E7" s="39">
        <v>1.623440661E9</v>
      </c>
      <c r="F7" s="64">
        <f>IFERROR(__xludf.DUMMYFUNCTION("INDEX(SPLIT(E7, char(10)), 0, 1)/86400+date(1970,1,1)"),44358.82246527778)</f>
        <v>44358.82247</v>
      </c>
      <c r="G7" s="39" t="s">
        <v>403</v>
      </c>
      <c r="H7" s="84" t="s">
        <v>404</v>
      </c>
      <c r="I7" s="39" t="s">
        <v>17</v>
      </c>
    </row>
    <row r="8">
      <c r="A8" s="69"/>
      <c r="B8" s="39" t="s">
        <v>18</v>
      </c>
      <c r="C8" s="55">
        <f t="shared" ref="C8:D8" si="4">SUM(C5:C6)</f>
        <v>18</v>
      </c>
      <c r="D8" s="13">
        <f t="shared" si="4"/>
        <v>0.75</v>
      </c>
      <c r="E8" s="39">
        <v>1.623440771E9</v>
      </c>
      <c r="F8" s="64">
        <f>IFERROR(__xludf.DUMMYFUNCTION("INDEX(SPLIT(E8, char(10)), 0, 1)/86400+date(1970,1,1)"),44358.82373842593)</f>
        <v>44358.82374</v>
      </c>
      <c r="G8" s="39" t="s">
        <v>405</v>
      </c>
      <c r="H8" s="84" t="s">
        <v>406</v>
      </c>
      <c r="I8" s="39" t="s">
        <v>15</v>
      </c>
    </row>
    <row r="9">
      <c r="A9" s="69"/>
      <c r="B9" s="39" t="s">
        <v>47</v>
      </c>
      <c r="C9" s="55">
        <f>SUM(C6:C7)</f>
        <v>36</v>
      </c>
      <c r="D9" s="13">
        <f>SUM(D5:D6) + D2</f>
        <v>0.8333333333</v>
      </c>
      <c r="E9" s="39">
        <v>1.623440921E9</v>
      </c>
      <c r="F9" s="64">
        <f>IFERROR(__xludf.DUMMYFUNCTION("INDEX(SPLIT(E9, char(10)), 0, 1)/86400+date(1970,1,1)"),44358.825474537036)</f>
        <v>44358.82547</v>
      </c>
      <c r="G9" s="39" t="s">
        <v>407</v>
      </c>
      <c r="H9" s="84" t="s">
        <v>408</v>
      </c>
      <c r="I9" s="39" t="s">
        <v>15</v>
      </c>
    </row>
    <row r="10">
      <c r="A10" s="69"/>
      <c r="B10" s="69"/>
      <c r="C10" s="69"/>
      <c r="D10" s="69"/>
      <c r="E10" s="39">
        <v>1.623441216E9</v>
      </c>
      <c r="F10" s="64">
        <f>IFERROR(__xludf.DUMMYFUNCTION("INDEX(SPLIT(E10, char(10)), 0, 1)/86400+date(1970,1,1)"),44358.82888888889)</f>
        <v>44358.82889</v>
      </c>
      <c r="G10" s="39" t="s">
        <v>329</v>
      </c>
      <c r="H10" s="84" t="s">
        <v>409</v>
      </c>
      <c r="I10" s="39" t="s">
        <v>16</v>
      </c>
    </row>
    <row r="11">
      <c r="A11" s="69"/>
      <c r="B11" s="69"/>
      <c r="C11" s="69"/>
      <c r="D11" s="69"/>
      <c r="E11" s="39">
        <v>1.623441345E9</v>
      </c>
      <c r="F11" s="64">
        <f>IFERROR(__xludf.DUMMYFUNCTION("INDEX(SPLIT(E11, char(10)), 0, 1)/86400+date(1970,1,1)"),44358.83038194444)</f>
        <v>44358.83038</v>
      </c>
      <c r="G11" s="39" t="s">
        <v>335</v>
      </c>
      <c r="H11" s="84" t="s">
        <v>336</v>
      </c>
      <c r="I11" s="39" t="s">
        <v>15</v>
      </c>
    </row>
    <row r="12">
      <c r="A12" s="70" t="s">
        <v>123</v>
      </c>
      <c r="B12" s="85" t="s">
        <v>410</v>
      </c>
      <c r="C12" s="86"/>
      <c r="D12" s="72"/>
      <c r="E12" s="39">
        <v>1.623441778E9</v>
      </c>
      <c r="F12" s="64">
        <f>IFERROR(__xludf.DUMMYFUNCTION("INDEX(SPLIT(E12, char(10)), 0, 1)/86400+date(1970,1,1)"),44358.835393518515)</f>
        <v>44358.83539</v>
      </c>
      <c r="G12" s="39" t="s">
        <v>411</v>
      </c>
      <c r="H12" s="84" t="s">
        <v>412</v>
      </c>
      <c r="I12" s="39" t="s">
        <v>16</v>
      </c>
    </row>
    <row r="13">
      <c r="A13" s="70" t="s">
        <v>127</v>
      </c>
      <c r="B13" s="72"/>
      <c r="C13" s="70" t="s">
        <v>91</v>
      </c>
      <c r="D13" s="70" t="s">
        <v>92</v>
      </c>
      <c r="E13" s="39">
        <v>1.623441893E9</v>
      </c>
      <c r="F13" s="64">
        <f>IFERROR(__xludf.DUMMYFUNCTION("INDEX(SPLIT(E13, char(10)), 0, 1)/86400+date(1970,1,1)"),44358.83672453703)</f>
        <v>44358.83672</v>
      </c>
      <c r="G13" s="39" t="s">
        <v>320</v>
      </c>
      <c r="H13" s="84" t="s">
        <v>413</v>
      </c>
      <c r="I13" s="39" t="s">
        <v>17</v>
      </c>
    </row>
    <row r="14">
      <c r="A14" s="5" t="s">
        <v>130</v>
      </c>
      <c r="B14" s="5" t="s">
        <v>131</v>
      </c>
      <c r="C14" s="73">
        <f t="shared" ref="C14:C17" si="5">COUNTIF($A$19:$A1000, A14)</f>
        <v>3</v>
      </c>
      <c r="D14" s="74">
        <f>IFERROR(__xludf.DUMMYFUNCTION("IF(C14, COUNTIF(FILTER($D$19:$D1000, $A$19:$A1000=A14), TRUE)/C14, 0)"),1.0)</f>
        <v>1</v>
      </c>
      <c r="E14" s="39">
        <v>1.62344222E9</v>
      </c>
      <c r="F14" s="64">
        <f>IFERROR(__xludf.DUMMYFUNCTION("INDEX(SPLIT(E14, char(10)), 0, 1)/86400+date(1970,1,1)"),44358.84050925926)</f>
        <v>44358.84051</v>
      </c>
      <c r="G14" s="39" t="s">
        <v>414</v>
      </c>
      <c r="H14" s="84" t="s">
        <v>415</v>
      </c>
      <c r="I14" s="39" t="s">
        <v>16</v>
      </c>
    </row>
    <row r="15">
      <c r="A15" s="5" t="s">
        <v>6</v>
      </c>
      <c r="B15" s="5" t="s">
        <v>134</v>
      </c>
      <c r="C15" s="73">
        <f t="shared" si="5"/>
        <v>2</v>
      </c>
      <c r="D15" s="74">
        <f>IFERROR(__xludf.DUMMYFUNCTION("IF(C15, COUNTIF(FILTER($D$19:$D1000, $A$19:$A1000=A15), TRUE)/C15, 0)"),0.5)</f>
        <v>0.5</v>
      </c>
      <c r="E15" s="39">
        <v>1.623442328E9</v>
      </c>
      <c r="F15" s="64">
        <f>IFERROR(__xludf.DUMMYFUNCTION("INDEX(SPLIT(E15, char(10)), 0, 1)/86400+date(1970,1,1)"),44358.84175925926)</f>
        <v>44358.84176</v>
      </c>
      <c r="G15" s="39" t="s">
        <v>416</v>
      </c>
      <c r="H15" s="84" t="s">
        <v>417</v>
      </c>
      <c r="I15" s="39" t="s">
        <v>17</v>
      </c>
    </row>
    <row r="16">
      <c r="A16" s="5" t="s">
        <v>7</v>
      </c>
      <c r="B16" s="5" t="s">
        <v>137</v>
      </c>
      <c r="C16" s="73">
        <f t="shared" si="5"/>
        <v>4</v>
      </c>
      <c r="D16" s="74">
        <f>IFERROR(__xludf.DUMMYFUNCTION("IF(C16, COUNTIF(FILTER($D$19:$D1000, $A$19:$A1000=A16), TRUE)/C16, 0)"),0.5)</f>
        <v>0.5</v>
      </c>
      <c r="E16" s="39">
        <v>1.623443031E9</v>
      </c>
      <c r="F16" s="64">
        <f>IFERROR(__xludf.DUMMYFUNCTION("INDEX(SPLIT(E16, char(10)), 0, 1)/86400+date(1970,1,1)"),44358.84989583334)</f>
        <v>44358.8499</v>
      </c>
      <c r="G16" s="39" t="s">
        <v>418</v>
      </c>
      <c r="H16" s="84" t="s">
        <v>419</v>
      </c>
      <c r="I16" s="39" t="s">
        <v>15</v>
      </c>
    </row>
    <row r="17">
      <c r="A17" s="5" t="s">
        <v>8</v>
      </c>
      <c r="B17" s="5" t="s">
        <v>79</v>
      </c>
      <c r="C17" s="73">
        <f t="shared" si="5"/>
        <v>9</v>
      </c>
      <c r="D17" s="74">
        <f>IFERROR(__xludf.DUMMYFUNCTION("IF(C17, COUNTIF(FILTER($D$19:$D1000, $A$19:$A1000=A17), TRUE)/C17, 0)"),0.2222222222222222)</f>
        <v>0.2222222222</v>
      </c>
      <c r="E17" s="39">
        <v>1.623443131E9</v>
      </c>
      <c r="F17" s="64">
        <f>IFERROR(__xludf.DUMMYFUNCTION("INDEX(SPLIT(E17, char(10)), 0, 1)/86400+date(1970,1,1)"),44358.85105324074)</f>
        <v>44358.85105</v>
      </c>
      <c r="G17" s="39" t="s">
        <v>420</v>
      </c>
      <c r="H17" s="84" t="s">
        <v>421</v>
      </c>
      <c r="I17" s="39" t="s">
        <v>16</v>
      </c>
    </row>
    <row r="18">
      <c r="A18" s="72"/>
      <c r="B18" s="70" t="s">
        <v>9</v>
      </c>
      <c r="C18" s="73">
        <f>SUM(C14:C17)</f>
        <v>18</v>
      </c>
      <c r="D18" s="74">
        <f>COUNTIF($D$19:$D1000, TRUE)/SUM($C$14:$C$17)</f>
        <v>0.4444444444</v>
      </c>
      <c r="E18" s="39">
        <v>1.62344328E9</v>
      </c>
      <c r="F18" s="64">
        <f>IFERROR(__xludf.DUMMYFUNCTION("INDEX(SPLIT(E18, char(10)), 0, 1)/86400+date(1970,1,1)"),44358.85277777778)</f>
        <v>44358.85278</v>
      </c>
      <c r="G18" s="39" t="s">
        <v>422</v>
      </c>
      <c r="H18" s="84" t="s">
        <v>423</v>
      </c>
      <c r="I18" s="39" t="s">
        <v>17</v>
      </c>
    </row>
    <row r="19">
      <c r="A19" s="75" t="s">
        <v>7</v>
      </c>
      <c r="B19" s="75" t="s">
        <v>149</v>
      </c>
      <c r="C19" s="76">
        <v>1.0</v>
      </c>
      <c r="D19" s="78" t="b">
        <v>0</v>
      </c>
      <c r="E19" s="39">
        <v>1.623443503E9</v>
      </c>
      <c r="F19" s="64">
        <f>IFERROR(__xludf.DUMMYFUNCTION("INDEX(SPLIT(E19, char(10)), 0, 1)/86400+date(1970,1,1)"),44358.855358796296)</f>
        <v>44358.85536</v>
      </c>
      <c r="G19" s="39" t="s">
        <v>424</v>
      </c>
      <c r="H19" s="84" t="s">
        <v>425</v>
      </c>
      <c r="I19" s="39" t="s">
        <v>17</v>
      </c>
    </row>
    <row r="20">
      <c r="A20" s="75" t="s">
        <v>7</v>
      </c>
      <c r="B20" s="75" t="s">
        <v>155</v>
      </c>
      <c r="C20" s="76">
        <v>45.0</v>
      </c>
      <c r="D20" s="78" t="b">
        <v>0</v>
      </c>
      <c r="E20" s="39">
        <v>1.623443654E9</v>
      </c>
      <c r="F20" s="64">
        <f>IFERROR(__xludf.DUMMYFUNCTION("INDEX(SPLIT(E20, char(10)), 0, 1)/86400+date(1970,1,1)"),44358.85710648148)</f>
        <v>44358.85711</v>
      </c>
      <c r="G20" s="39" t="s">
        <v>426</v>
      </c>
      <c r="H20" s="84" t="s">
        <v>427</v>
      </c>
      <c r="I20" s="39" t="s">
        <v>75</v>
      </c>
    </row>
    <row r="21">
      <c r="A21" s="75" t="s">
        <v>7</v>
      </c>
      <c r="B21" s="75" t="s">
        <v>158</v>
      </c>
      <c r="C21" s="76">
        <v>45.0</v>
      </c>
      <c r="D21" s="78" t="b">
        <v>1</v>
      </c>
      <c r="E21" s="39">
        <v>1.623443803E9</v>
      </c>
      <c r="F21" s="64">
        <f>IFERROR(__xludf.DUMMYFUNCTION("INDEX(SPLIT(E21, char(10)), 0, 1)/86400+date(1970,1,1)"),44358.858831018515)</f>
        <v>44358.85883</v>
      </c>
      <c r="G21" s="39" t="s">
        <v>428</v>
      </c>
      <c r="H21" s="84" t="s">
        <v>429</v>
      </c>
      <c r="I21" s="39" t="s">
        <v>16</v>
      </c>
    </row>
    <row r="22">
      <c r="A22" s="75" t="s">
        <v>8</v>
      </c>
      <c r="B22" s="75" t="s">
        <v>341</v>
      </c>
      <c r="C22" s="76">
        <v>46.0</v>
      </c>
      <c r="D22" s="78" t="b">
        <v>1</v>
      </c>
      <c r="E22" s="39">
        <v>1.623443922E9</v>
      </c>
      <c r="F22" s="64">
        <f>IFERROR(__xludf.DUMMYFUNCTION("INDEX(SPLIT(E22, char(10)), 0, 1)/86400+date(1970,1,1)"),44358.86020833333)</f>
        <v>44358.86021</v>
      </c>
      <c r="G22" s="39" t="s">
        <v>430</v>
      </c>
      <c r="H22" s="84" t="s">
        <v>431</v>
      </c>
      <c r="I22" s="39" t="s">
        <v>17</v>
      </c>
    </row>
    <row r="23">
      <c r="A23" s="75" t="s">
        <v>8</v>
      </c>
      <c r="B23" s="75" t="s">
        <v>344</v>
      </c>
      <c r="C23" s="76">
        <v>46.0</v>
      </c>
      <c r="D23" s="78" t="b">
        <v>1</v>
      </c>
      <c r="E23" s="39">
        <v>1.623444347E9</v>
      </c>
      <c r="F23" s="64">
        <f>IFERROR(__xludf.DUMMYFUNCTION("INDEX(SPLIT(E23, char(10)), 0, 1)/86400+date(1970,1,1)"),44358.86512731481)</f>
        <v>44358.86513</v>
      </c>
      <c r="G23" s="39" t="s">
        <v>432</v>
      </c>
      <c r="H23" s="84" t="s">
        <v>433</v>
      </c>
      <c r="I23" s="39" t="s">
        <v>16</v>
      </c>
    </row>
    <row r="24">
      <c r="A24" s="5" t="s">
        <v>130</v>
      </c>
      <c r="B24" s="5" t="s">
        <v>347</v>
      </c>
      <c r="C24" s="76">
        <v>53.0</v>
      </c>
      <c r="D24" s="78" t="b">
        <v>1</v>
      </c>
      <c r="E24" s="39">
        <v>1.623444517E9</v>
      </c>
      <c r="F24" s="64">
        <f>IFERROR(__xludf.DUMMYFUNCTION("INDEX(SPLIT(E24, char(10)), 0, 1)/86400+date(1970,1,1)"),44358.86709490741)</f>
        <v>44358.86709</v>
      </c>
      <c r="G24" s="39" t="s">
        <v>434</v>
      </c>
      <c r="H24" s="84" t="s">
        <v>435</v>
      </c>
      <c r="I24" s="39" t="s">
        <v>75</v>
      </c>
    </row>
    <row r="25">
      <c r="A25" s="75" t="s">
        <v>8</v>
      </c>
      <c r="B25" s="72" t="s">
        <v>350</v>
      </c>
      <c r="C25" s="76">
        <v>64.0</v>
      </c>
      <c r="D25" s="78" t="b">
        <v>0</v>
      </c>
      <c r="E25" s="39">
        <v>1.623444622E9</v>
      </c>
      <c r="F25" s="64">
        <f>IFERROR(__xludf.DUMMYFUNCTION("INDEX(SPLIT(E25, char(10)), 0, 1)/86400+date(1970,1,1)"),44358.868310185186)</f>
        <v>44358.86831</v>
      </c>
      <c r="G25" s="39" t="s">
        <v>436</v>
      </c>
      <c r="H25" s="84" t="s">
        <v>437</v>
      </c>
      <c r="I25" s="39" t="s">
        <v>17</v>
      </c>
    </row>
    <row r="26">
      <c r="A26" s="75" t="s">
        <v>8</v>
      </c>
      <c r="B26" s="72" t="s">
        <v>353</v>
      </c>
      <c r="C26" s="76">
        <v>65.0</v>
      </c>
      <c r="D26" s="78" t="b">
        <v>0</v>
      </c>
      <c r="F26" s="64"/>
      <c r="G26" s="84"/>
      <c r="H26" s="84"/>
      <c r="I26" s="40"/>
    </row>
    <row r="27">
      <c r="A27" s="75" t="s">
        <v>130</v>
      </c>
      <c r="B27" s="72" t="s">
        <v>356</v>
      </c>
      <c r="C27" s="76">
        <v>66.0</v>
      </c>
      <c r="D27" s="78" t="b">
        <v>1</v>
      </c>
      <c r="F27" s="64"/>
      <c r="G27" s="84"/>
      <c r="H27" s="84"/>
      <c r="I27" s="40"/>
    </row>
    <row r="28">
      <c r="A28" s="75" t="s">
        <v>8</v>
      </c>
      <c r="B28" s="72" t="s">
        <v>359</v>
      </c>
      <c r="C28" s="76">
        <v>74.0</v>
      </c>
      <c r="D28" s="78" t="b">
        <v>0</v>
      </c>
      <c r="F28" s="64"/>
      <c r="G28" s="84"/>
      <c r="H28" s="84"/>
      <c r="I28" s="40"/>
    </row>
    <row r="29">
      <c r="A29" s="75" t="s">
        <v>8</v>
      </c>
      <c r="B29" s="72" t="s">
        <v>362</v>
      </c>
      <c r="C29" s="76">
        <v>76.0</v>
      </c>
      <c r="D29" s="78" t="b">
        <v>0</v>
      </c>
      <c r="F29" s="64"/>
      <c r="G29" s="84"/>
      <c r="H29" s="84"/>
      <c r="I29" s="40"/>
    </row>
    <row r="30">
      <c r="A30" s="75" t="s">
        <v>130</v>
      </c>
      <c r="B30" s="72" t="s">
        <v>365</v>
      </c>
      <c r="C30" s="76">
        <v>79.0</v>
      </c>
      <c r="D30" s="78" t="b">
        <v>1</v>
      </c>
      <c r="F30" s="64"/>
      <c r="G30" s="84"/>
      <c r="H30" s="84"/>
      <c r="I30" s="40"/>
    </row>
    <row r="31">
      <c r="A31" s="75" t="s">
        <v>8</v>
      </c>
      <c r="B31" s="72" t="s">
        <v>368</v>
      </c>
      <c r="C31" s="76">
        <v>81.0</v>
      </c>
      <c r="D31" s="78" t="b">
        <v>0</v>
      </c>
      <c r="F31" s="64"/>
      <c r="G31" s="84"/>
      <c r="H31" s="84"/>
      <c r="I31" s="40"/>
    </row>
    <row r="32">
      <c r="A32" s="75" t="s">
        <v>8</v>
      </c>
      <c r="B32" s="72" t="s">
        <v>371</v>
      </c>
      <c r="C32" s="76">
        <v>81.0</v>
      </c>
      <c r="D32" s="78" t="b">
        <v>0</v>
      </c>
      <c r="F32" s="64"/>
      <c r="G32" s="84"/>
      <c r="H32" s="84"/>
      <c r="I32" s="40"/>
    </row>
    <row r="33">
      <c r="A33" s="75" t="s">
        <v>8</v>
      </c>
      <c r="B33" s="72" t="s">
        <v>374</v>
      </c>
      <c r="C33" s="76">
        <v>85.0</v>
      </c>
      <c r="D33" s="78" t="b">
        <v>0</v>
      </c>
      <c r="F33" s="64"/>
      <c r="G33" s="84"/>
      <c r="H33" s="84"/>
      <c r="I33" s="40"/>
    </row>
    <row r="34">
      <c r="A34" s="75" t="s">
        <v>6</v>
      </c>
      <c r="B34" s="72" t="s">
        <v>377</v>
      </c>
      <c r="C34" s="76">
        <v>88.0</v>
      </c>
      <c r="D34" s="78" t="b">
        <v>1</v>
      </c>
      <c r="F34" s="64"/>
      <c r="G34" s="84"/>
      <c r="H34" s="84"/>
      <c r="I34" s="40"/>
    </row>
    <row r="35">
      <c r="A35" s="75" t="s">
        <v>6</v>
      </c>
      <c r="B35" s="72" t="s">
        <v>380</v>
      </c>
      <c r="C35" s="76">
        <v>90.0</v>
      </c>
      <c r="D35" s="78" t="b">
        <v>0</v>
      </c>
      <c r="F35" s="64"/>
      <c r="G35" s="84"/>
      <c r="H35" s="84"/>
      <c r="I35" s="40"/>
    </row>
    <row r="36">
      <c r="A36" s="75" t="s">
        <v>7</v>
      </c>
      <c r="B36" s="72" t="s">
        <v>183</v>
      </c>
      <c r="C36" s="76">
        <v>90.0</v>
      </c>
      <c r="D36" s="78" t="b">
        <v>1</v>
      </c>
      <c r="F36" s="64"/>
      <c r="G36" s="84"/>
      <c r="H36" s="84"/>
      <c r="I36" s="40"/>
    </row>
    <row r="37">
      <c r="A37" s="75"/>
      <c r="B37" s="72"/>
      <c r="C37" s="76"/>
      <c r="D37" s="77"/>
      <c r="F37" s="64"/>
      <c r="G37" s="84"/>
      <c r="H37" s="84"/>
      <c r="I37" s="40"/>
    </row>
    <row r="38">
      <c r="A38" s="75"/>
      <c r="B38" s="72"/>
      <c r="C38" s="76"/>
      <c r="D38" s="77"/>
      <c r="F38" s="64"/>
      <c r="G38" s="84"/>
      <c r="H38" s="84"/>
      <c r="I38" s="40"/>
    </row>
    <row r="39">
      <c r="A39" s="75"/>
      <c r="B39" s="72"/>
      <c r="C39" s="76"/>
      <c r="D39" s="77"/>
      <c r="F39" s="64"/>
      <c r="G39" s="84"/>
      <c r="H39" s="84"/>
      <c r="I39" s="40"/>
    </row>
    <row r="40">
      <c r="A40" s="75"/>
      <c r="B40" s="72"/>
      <c r="C40" s="76"/>
      <c r="D40" s="77"/>
      <c r="F40" s="64"/>
      <c r="G40" s="84"/>
      <c r="H40" s="84"/>
      <c r="I40" s="40"/>
    </row>
    <row r="41">
      <c r="A41" s="75"/>
      <c r="B41" s="72"/>
      <c r="C41" s="76"/>
      <c r="D41" s="77"/>
      <c r="E41" s="82"/>
      <c r="F41" s="64"/>
      <c r="G41" s="81"/>
      <c r="H41" s="81"/>
      <c r="I41" s="40"/>
    </row>
    <row r="42">
      <c r="A42" s="75"/>
      <c r="B42" s="72"/>
      <c r="C42" s="76"/>
      <c r="D42" s="78"/>
      <c r="E42" s="82"/>
      <c r="F42" s="64"/>
      <c r="G42" s="81"/>
      <c r="H42" s="81"/>
      <c r="I42" s="40"/>
    </row>
    <row r="43">
      <c r="A43" s="69"/>
      <c r="B43" s="69"/>
      <c r="C43" s="69"/>
      <c r="D43" s="69"/>
      <c r="E43" s="82"/>
      <c r="F43" s="64"/>
      <c r="G43" s="81"/>
      <c r="H43" s="84"/>
      <c r="I43" s="40"/>
    </row>
    <row r="44">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0</v>
      </c>
      <c r="D2" s="62">
        <f t="shared" ref="D2:D6" si="2">C2/COUNTA(I$2:I1000)</f>
        <v>0</v>
      </c>
      <c r="E2" s="39">
        <v>1.623438057E9</v>
      </c>
      <c r="F2" s="64">
        <f>IFERROR(__xludf.DUMMYFUNCTION("INDEX(SPLIT(E2, char(10)), 0, 1)/86400+date(1970,1,1)"),44358.79232638889)</f>
        <v>44358.79233</v>
      </c>
      <c r="G2" s="84" t="s">
        <v>438</v>
      </c>
      <c r="H2" s="84" t="s">
        <v>439</v>
      </c>
      <c r="I2" s="39" t="s">
        <v>17</v>
      </c>
      <c r="J2" s="39"/>
    </row>
    <row r="3">
      <c r="A3" s="39" t="s">
        <v>14</v>
      </c>
      <c r="B3" s="39" t="s">
        <v>101</v>
      </c>
      <c r="C3" s="39">
        <f t="shared" si="1"/>
        <v>3</v>
      </c>
      <c r="D3" s="62">
        <f t="shared" si="2"/>
        <v>0.08333333333</v>
      </c>
      <c r="E3" s="39">
        <v>1.623438166E9</v>
      </c>
      <c r="F3" s="64">
        <f>IFERROR(__xludf.DUMMYFUNCTION("INDEX(SPLIT(E3, char(10)), 0, 1)/86400+date(1970,1,1)"),44358.793587962966)</f>
        <v>44358.79359</v>
      </c>
      <c r="G3" s="84" t="s">
        <v>440</v>
      </c>
      <c r="H3" s="84" t="s">
        <v>441</v>
      </c>
      <c r="I3" s="39" t="s">
        <v>15</v>
      </c>
      <c r="J3" s="39"/>
    </row>
    <row r="4">
      <c r="A4" s="39" t="s">
        <v>15</v>
      </c>
      <c r="B4" s="39" t="s">
        <v>104</v>
      </c>
      <c r="C4" s="39">
        <f t="shared" si="1"/>
        <v>9</v>
      </c>
      <c r="D4" s="62">
        <f t="shared" si="2"/>
        <v>0.25</v>
      </c>
      <c r="E4" s="39">
        <v>1.623438752E9</v>
      </c>
      <c r="F4" s="64">
        <f>IFERROR(__xludf.DUMMYFUNCTION("INDEX(SPLIT(E4, char(10)), 0, 1)/86400+date(1970,1,1)"),44358.80037037037)</f>
        <v>44358.80037</v>
      </c>
      <c r="G4" s="84" t="s">
        <v>442</v>
      </c>
      <c r="H4" s="84" t="s">
        <v>443</v>
      </c>
      <c r="I4" s="39" t="s">
        <v>14</v>
      </c>
      <c r="J4" s="39"/>
    </row>
    <row r="5">
      <c r="A5" s="39" t="s">
        <v>16</v>
      </c>
      <c r="B5" s="39" t="s">
        <v>107</v>
      </c>
      <c r="C5" s="39">
        <f t="shared" si="1"/>
        <v>7</v>
      </c>
      <c r="D5" s="62">
        <f t="shared" si="2"/>
        <v>0.1944444444</v>
      </c>
      <c r="E5" s="39">
        <v>1.623439087E9</v>
      </c>
      <c r="F5" s="64">
        <f>IFERROR(__xludf.DUMMYFUNCTION("INDEX(SPLIT(E5, char(10)), 0, 1)/86400+date(1970,1,1)"),44358.804247685184)</f>
        <v>44358.80425</v>
      </c>
      <c r="G5" s="84" t="s">
        <v>444</v>
      </c>
      <c r="H5" s="84" t="s">
        <v>445</v>
      </c>
      <c r="I5" s="39" t="s">
        <v>17</v>
      </c>
      <c r="J5" s="39"/>
    </row>
    <row r="6">
      <c r="A6" s="39" t="s">
        <v>17</v>
      </c>
      <c r="B6" s="39" t="s">
        <v>110</v>
      </c>
      <c r="C6" s="39">
        <f t="shared" si="1"/>
        <v>17</v>
      </c>
      <c r="D6" s="62">
        <f t="shared" si="2"/>
        <v>0.4722222222</v>
      </c>
      <c r="E6" s="39">
        <v>1.623439352E9</v>
      </c>
      <c r="F6" s="64">
        <f>IFERROR(__xludf.DUMMYFUNCTION("INDEX(SPLIT(E6, char(10)), 0, 1)/86400+date(1970,1,1)"),44358.80731481481)</f>
        <v>44358.80731</v>
      </c>
      <c r="G6" s="84" t="s">
        <v>446</v>
      </c>
      <c r="H6" s="84" t="s">
        <v>447</v>
      </c>
      <c r="I6" s="39" t="s">
        <v>17</v>
      </c>
    </row>
    <row r="7">
      <c r="B7" s="39" t="s">
        <v>13</v>
      </c>
      <c r="C7" s="67">
        <f t="shared" ref="C7:D7" si="3">SUM(C2:C6)</f>
        <v>36</v>
      </c>
      <c r="D7" s="68">
        <f t="shared" si="3"/>
        <v>1</v>
      </c>
      <c r="E7" s="39">
        <v>1.623439723E9</v>
      </c>
      <c r="F7" s="64">
        <f>IFERROR(__xludf.DUMMYFUNCTION("INDEX(SPLIT(E7, char(10)), 0, 1)/86400+date(1970,1,1)"),44358.8116087963)</f>
        <v>44358.81161</v>
      </c>
      <c r="G7" s="84" t="s">
        <v>401</v>
      </c>
      <c r="H7" s="84" t="s">
        <v>402</v>
      </c>
      <c r="I7" s="39" t="s">
        <v>17</v>
      </c>
    </row>
    <row r="8">
      <c r="A8" s="69"/>
      <c r="B8" s="39" t="s">
        <v>18</v>
      </c>
      <c r="C8" s="55">
        <f t="shared" ref="C8:D8" si="4">SUM(C5:C6)</f>
        <v>24</v>
      </c>
      <c r="D8" s="13">
        <f t="shared" si="4"/>
        <v>0.6666666667</v>
      </c>
      <c r="E8" s="39">
        <v>1.623439875E9</v>
      </c>
      <c r="F8" s="64">
        <f>IFERROR(__xludf.DUMMYFUNCTION("INDEX(SPLIT(E8, char(10)), 0, 1)/86400+date(1970,1,1)"),44358.813368055555)</f>
        <v>44358.81337</v>
      </c>
      <c r="G8" s="84" t="s">
        <v>448</v>
      </c>
      <c r="H8" s="84" t="s">
        <v>449</v>
      </c>
      <c r="I8" s="39" t="s">
        <v>17</v>
      </c>
    </row>
    <row r="9">
      <c r="A9" s="69"/>
      <c r="B9" s="39" t="s">
        <v>47</v>
      </c>
      <c r="C9" s="55">
        <f>SUM(C6:C7)</f>
        <v>53</v>
      </c>
      <c r="D9" s="13">
        <f>SUM(D5:D6) + D2</f>
        <v>0.6666666667</v>
      </c>
      <c r="E9" s="39">
        <v>1.623439992E9</v>
      </c>
      <c r="F9" s="64">
        <f>IFERROR(__xludf.DUMMYFUNCTION("INDEX(SPLIT(E9, char(10)), 0, 1)/86400+date(1970,1,1)"),44358.81472222222)</f>
        <v>44358.81472</v>
      </c>
      <c r="G9" s="84" t="s">
        <v>450</v>
      </c>
      <c r="H9" s="84" t="s">
        <v>451</v>
      </c>
      <c r="I9" s="39" t="s">
        <v>14</v>
      </c>
    </row>
    <row r="10">
      <c r="A10" s="69"/>
      <c r="B10" s="69"/>
      <c r="C10" s="69"/>
      <c r="D10" s="69"/>
      <c r="E10" s="39">
        <v>1.623440207E9</v>
      </c>
      <c r="F10" s="64">
        <f>IFERROR(__xludf.DUMMYFUNCTION("INDEX(SPLIT(E10, char(10)), 0, 1)/86400+date(1970,1,1)"),44358.81721064815)</f>
        <v>44358.81721</v>
      </c>
      <c r="G10" s="84" t="s">
        <v>452</v>
      </c>
      <c r="H10" s="84" t="s">
        <v>453</v>
      </c>
      <c r="I10" s="39" t="s">
        <v>17</v>
      </c>
    </row>
    <row r="11">
      <c r="A11" s="69"/>
      <c r="B11" s="69"/>
      <c r="C11" s="69"/>
      <c r="D11" s="69"/>
      <c r="E11" s="39">
        <v>1.623440639E9</v>
      </c>
      <c r="F11" s="64">
        <f>IFERROR(__xludf.DUMMYFUNCTION("INDEX(SPLIT(E11, char(10)), 0, 1)/86400+date(1970,1,1)"),44358.82221064815)</f>
        <v>44358.82221</v>
      </c>
      <c r="G11" s="84" t="s">
        <v>454</v>
      </c>
      <c r="H11" s="84" t="s">
        <v>455</v>
      </c>
      <c r="I11" s="39" t="s">
        <v>17</v>
      </c>
    </row>
    <row r="12">
      <c r="A12" s="70" t="s">
        <v>123</v>
      </c>
      <c r="B12" s="85" t="s">
        <v>456</v>
      </c>
      <c r="C12" s="86"/>
      <c r="D12" s="72"/>
      <c r="E12" s="39">
        <v>1.623440745E9</v>
      </c>
      <c r="F12" s="64">
        <f>IFERROR(__xludf.DUMMYFUNCTION("INDEX(SPLIT(E12, char(10)), 0, 1)/86400+date(1970,1,1)"),44358.8234375)</f>
        <v>44358.82344</v>
      </c>
      <c r="G12" s="84" t="s">
        <v>457</v>
      </c>
      <c r="H12" s="84" t="s">
        <v>458</v>
      </c>
      <c r="I12" s="39" t="s">
        <v>15</v>
      </c>
    </row>
    <row r="13">
      <c r="A13" s="70" t="s">
        <v>127</v>
      </c>
      <c r="B13" s="72"/>
      <c r="C13" s="70" t="s">
        <v>91</v>
      </c>
      <c r="D13" s="70" t="s">
        <v>92</v>
      </c>
      <c r="E13" s="39">
        <v>1.623440837E9</v>
      </c>
      <c r="F13" s="64">
        <f>IFERROR(__xludf.DUMMYFUNCTION("INDEX(SPLIT(E13, char(10)), 0, 1)/86400+date(1970,1,1)"),44358.82450231482)</f>
        <v>44358.8245</v>
      </c>
      <c r="G13" s="84" t="s">
        <v>459</v>
      </c>
      <c r="H13" s="84" t="s">
        <v>460</v>
      </c>
      <c r="I13" s="39" t="s">
        <v>15</v>
      </c>
    </row>
    <row r="14">
      <c r="A14" s="5" t="s">
        <v>130</v>
      </c>
      <c r="B14" s="5" t="s">
        <v>131</v>
      </c>
      <c r="C14" s="73">
        <f t="shared" ref="C14:C17" si="5">COUNTIF($A$19:$A1000, A14)</f>
        <v>3</v>
      </c>
      <c r="D14" s="74">
        <f>IFERROR(__xludf.DUMMYFUNCTION("IF(C14, COUNTIF(FILTER($D$19:$D1000, $A$19:$A1000=A14), TRUE)/C14, 0)"),1.0)</f>
        <v>1</v>
      </c>
      <c r="E14" s="39">
        <v>1.623440988E9</v>
      </c>
      <c r="F14" s="64">
        <f>IFERROR(__xludf.DUMMYFUNCTION("INDEX(SPLIT(E14, char(10)), 0, 1)/86400+date(1970,1,1)"),44358.82625)</f>
        <v>44358.82625</v>
      </c>
      <c r="G14" s="84" t="s">
        <v>461</v>
      </c>
      <c r="H14" s="84" t="s">
        <v>462</v>
      </c>
      <c r="I14" s="39" t="s">
        <v>15</v>
      </c>
    </row>
    <row r="15">
      <c r="A15" s="5" t="s">
        <v>6</v>
      </c>
      <c r="B15" s="5" t="s">
        <v>134</v>
      </c>
      <c r="C15" s="73">
        <f t="shared" si="5"/>
        <v>2</v>
      </c>
      <c r="D15" s="74">
        <f>IFERROR(__xludf.DUMMYFUNCTION("IF(C15, COUNTIF(FILTER($D$19:$D1000, $A$19:$A1000=A15), TRUE)/C15, 0)"),0.0)</f>
        <v>0</v>
      </c>
      <c r="E15" s="39">
        <v>1.623441669E9</v>
      </c>
      <c r="F15" s="64">
        <f>IFERROR(__xludf.DUMMYFUNCTION("INDEX(SPLIT(E15, char(10)), 0, 1)/86400+date(1970,1,1)"),44358.834131944444)</f>
        <v>44358.83413</v>
      </c>
      <c r="G15" s="84" t="s">
        <v>463</v>
      </c>
      <c r="H15" s="84" t="s">
        <v>464</v>
      </c>
      <c r="I15" s="39" t="s">
        <v>15</v>
      </c>
    </row>
    <row r="16">
      <c r="A16" s="5" t="s">
        <v>7</v>
      </c>
      <c r="B16" s="5" t="s">
        <v>137</v>
      </c>
      <c r="C16" s="73">
        <f t="shared" si="5"/>
        <v>4</v>
      </c>
      <c r="D16" s="74">
        <f>IFERROR(__xludf.DUMMYFUNCTION("IF(C16, COUNTIF(FILTER($D$19:$D1000, $A$19:$A1000=A16), TRUE)/C16, 0)"),0.25)</f>
        <v>0.25</v>
      </c>
      <c r="E16" s="39">
        <v>1.623441783E9</v>
      </c>
      <c r="F16" s="64">
        <f>IFERROR(__xludf.DUMMYFUNCTION("INDEX(SPLIT(E16, char(10)), 0, 1)/86400+date(1970,1,1)"),44358.83545138889)</f>
        <v>44358.83545</v>
      </c>
      <c r="G16" s="84" t="s">
        <v>465</v>
      </c>
      <c r="H16" s="84" t="s">
        <v>466</v>
      </c>
      <c r="I16" s="39" t="s">
        <v>16</v>
      </c>
    </row>
    <row r="17">
      <c r="A17" s="5" t="s">
        <v>8</v>
      </c>
      <c r="B17" s="5" t="s">
        <v>79</v>
      </c>
      <c r="C17" s="73">
        <f t="shared" si="5"/>
        <v>9</v>
      </c>
      <c r="D17" s="74">
        <f>IFERROR(__xludf.DUMMYFUNCTION("IF(C17, COUNTIF(FILTER($D$19:$D1000, $A$19:$A1000=A17), TRUE)/C17, 0)"),0.5555555555555556)</f>
        <v>0.5555555556</v>
      </c>
      <c r="E17" s="39">
        <v>1.623441902E9</v>
      </c>
      <c r="F17" s="64">
        <f>IFERROR(__xludf.DUMMYFUNCTION("INDEX(SPLIT(E17, char(10)), 0, 1)/86400+date(1970,1,1)"),44358.8368287037)</f>
        <v>44358.83683</v>
      </c>
      <c r="G17" s="84" t="s">
        <v>467</v>
      </c>
      <c r="H17" s="84" t="s">
        <v>468</v>
      </c>
      <c r="I17" s="39" t="s">
        <v>17</v>
      </c>
    </row>
    <row r="18">
      <c r="A18" s="72"/>
      <c r="B18" s="70" t="s">
        <v>9</v>
      </c>
      <c r="C18" s="73">
        <f>SUM(C14:C17)</f>
        <v>18</v>
      </c>
      <c r="D18" s="74">
        <f>COUNTIF($D$19:$D1000, TRUE)/SUM($C$14:$C$17)</f>
        <v>0.5</v>
      </c>
      <c r="E18" s="39">
        <v>1.623442211E9</v>
      </c>
      <c r="F18" s="64">
        <f>IFERROR(__xludf.DUMMYFUNCTION("INDEX(SPLIT(E18, char(10)), 0, 1)/86400+date(1970,1,1)"),44358.84040509259)</f>
        <v>44358.84041</v>
      </c>
      <c r="G18" s="84" t="s">
        <v>469</v>
      </c>
      <c r="H18" s="84" t="s">
        <v>470</v>
      </c>
      <c r="I18" s="39" t="s">
        <v>16</v>
      </c>
    </row>
    <row r="19">
      <c r="A19" s="75" t="s">
        <v>7</v>
      </c>
      <c r="B19" s="75" t="s">
        <v>149</v>
      </c>
      <c r="C19" s="76">
        <v>1.0</v>
      </c>
      <c r="D19" s="78" t="b">
        <v>0</v>
      </c>
      <c r="E19" s="39">
        <v>1.623442308E9</v>
      </c>
      <c r="F19" s="64">
        <f>IFERROR(__xludf.DUMMYFUNCTION("INDEX(SPLIT(E19, char(10)), 0, 1)/86400+date(1970,1,1)"),44358.84152777778)</f>
        <v>44358.84153</v>
      </c>
      <c r="G19" s="84" t="s">
        <v>471</v>
      </c>
      <c r="H19" s="84" t="s">
        <v>472</v>
      </c>
      <c r="I19" s="39" t="s">
        <v>17</v>
      </c>
    </row>
    <row r="20">
      <c r="A20" s="75" t="s">
        <v>7</v>
      </c>
      <c r="B20" s="75" t="s">
        <v>155</v>
      </c>
      <c r="C20" s="76">
        <v>45.0</v>
      </c>
      <c r="D20" s="78" t="b">
        <v>0</v>
      </c>
      <c r="E20" s="39">
        <v>1.623442422E9</v>
      </c>
      <c r="F20" s="64">
        <f>IFERROR(__xludf.DUMMYFUNCTION("INDEX(SPLIT(E20, char(10)), 0, 1)/86400+date(1970,1,1)"),44358.84284722222)</f>
        <v>44358.84285</v>
      </c>
      <c r="G20" s="84" t="s">
        <v>473</v>
      </c>
      <c r="H20" s="84" t="s">
        <v>474</v>
      </c>
      <c r="I20" s="39" t="s">
        <v>17</v>
      </c>
    </row>
    <row r="21">
      <c r="A21" s="75" t="s">
        <v>7</v>
      </c>
      <c r="B21" s="75" t="s">
        <v>158</v>
      </c>
      <c r="C21" s="76">
        <v>45.0</v>
      </c>
      <c r="D21" s="78" t="b">
        <v>0</v>
      </c>
      <c r="E21" s="39">
        <v>1.623442547E9</v>
      </c>
      <c r="F21" s="64">
        <f>IFERROR(__xludf.DUMMYFUNCTION("INDEX(SPLIT(E21, char(10)), 0, 1)/86400+date(1970,1,1)"),44358.844293981485)</f>
        <v>44358.84429</v>
      </c>
      <c r="G21" s="84" t="s">
        <v>475</v>
      </c>
      <c r="H21" s="84" t="s">
        <v>476</v>
      </c>
      <c r="I21" s="39" t="s">
        <v>17</v>
      </c>
    </row>
    <row r="22">
      <c r="A22" s="75" t="s">
        <v>8</v>
      </c>
      <c r="B22" s="75" t="s">
        <v>341</v>
      </c>
      <c r="C22" s="76">
        <v>46.0</v>
      </c>
      <c r="D22" s="78" t="b">
        <v>1</v>
      </c>
      <c r="E22" s="39">
        <v>1.623442652E9</v>
      </c>
      <c r="F22" s="64">
        <f>IFERROR(__xludf.DUMMYFUNCTION("INDEX(SPLIT(E22, char(10)), 0, 1)/86400+date(1970,1,1)"),44358.84550925926)</f>
        <v>44358.84551</v>
      </c>
      <c r="G22" s="84" t="s">
        <v>477</v>
      </c>
      <c r="H22" s="84" t="s">
        <v>478</v>
      </c>
      <c r="I22" s="39" t="s">
        <v>15</v>
      </c>
    </row>
    <row r="23">
      <c r="A23" s="75" t="s">
        <v>8</v>
      </c>
      <c r="B23" s="75" t="s">
        <v>344</v>
      </c>
      <c r="C23" s="76">
        <v>46.0</v>
      </c>
      <c r="D23" s="78" t="b">
        <v>1</v>
      </c>
      <c r="E23" s="39">
        <v>1.623442848E9</v>
      </c>
      <c r="F23" s="64">
        <f>IFERROR(__xludf.DUMMYFUNCTION("INDEX(SPLIT(E23, char(10)), 0, 1)/86400+date(1970,1,1)"),44358.84777777777)</f>
        <v>44358.84778</v>
      </c>
      <c r="G23" s="84" t="s">
        <v>479</v>
      </c>
      <c r="H23" s="84" t="s">
        <v>480</v>
      </c>
      <c r="I23" s="39" t="s">
        <v>17</v>
      </c>
    </row>
    <row r="24">
      <c r="A24" s="5" t="s">
        <v>130</v>
      </c>
      <c r="B24" s="5" t="s">
        <v>347</v>
      </c>
      <c r="C24" s="76">
        <v>53.0</v>
      </c>
      <c r="D24" s="78" t="b">
        <v>1</v>
      </c>
      <c r="E24" s="39">
        <v>1.623442946E9</v>
      </c>
      <c r="F24" s="64">
        <f>IFERROR(__xludf.DUMMYFUNCTION("INDEX(SPLIT(E24, char(10)), 0, 1)/86400+date(1970,1,1)"),44358.848912037036)</f>
        <v>44358.84891</v>
      </c>
      <c r="G24" s="84" t="s">
        <v>481</v>
      </c>
      <c r="H24" s="84" t="s">
        <v>482</v>
      </c>
      <c r="I24" s="39" t="s">
        <v>15</v>
      </c>
    </row>
    <row r="25">
      <c r="A25" s="75" t="s">
        <v>8</v>
      </c>
      <c r="B25" s="72" t="s">
        <v>350</v>
      </c>
      <c r="C25" s="76">
        <v>64.0</v>
      </c>
      <c r="D25" s="78" t="b">
        <v>0</v>
      </c>
      <c r="E25" s="39">
        <v>1.623443042E9</v>
      </c>
      <c r="F25" s="64">
        <f>IFERROR(__xludf.DUMMYFUNCTION("INDEX(SPLIT(E25, char(10)), 0, 1)/86400+date(1970,1,1)"),44358.850023148145)</f>
        <v>44358.85002</v>
      </c>
      <c r="G25" s="84" t="s">
        <v>483</v>
      </c>
      <c r="H25" s="84" t="s">
        <v>484</v>
      </c>
      <c r="I25" s="39" t="s">
        <v>16</v>
      </c>
    </row>
    <row r="26">
      <c r="A26" s="75" t="s">
        <v>8</v>
      </c>
      <c r="B26" s="72" t="s">
        <v>353</v>
      </c>
      <c r="C26" s="76">
        <v>65.0</v>
      </c>
      <c r="D26" s="78" t="b">
        <v>0</v>
      </c>
      <c r="E26" s="39">
        <v>1.623443202E9</v>
      </c>
      <c r="F26" s="64">
        <f>IFERROR(__xludf.DUMMYFUNCTION("INDEX(SPLIT(E26, char(10)), 0, 1)/86400+date(1970,1,1)"),44358.851875)</f>
        <v>44358.85188</v>
      </c>
      <c r="G26" s="84" t="s">
        <v>485</v>
      </c>
      <c r="H26" s="84" t="s">
        <v>486</v>
      </c>
      <c r="I26" s="39" t="s">
        <v>15</v>
      </c>
    </row>
    <row r="27">
      <c r="A27" s="75" t="s">
        <v>130</v>
      </c>
      <c r="B27" s="72" t="s">
        <v>356</v>
      </c>
      <c r="C27" s="76">
        <v>66.0</v>
      </c>
      <c r="D27" s="78" t="b">
        <v>1</v>
      </c>
      <c r="E27" s="39">
        <v>1.623443403E9</v>
      </c>
      <c r="F27" s="64">
        <f>IFERROR(__xludf.DUMMYFUNCTION("INDEX(SPLIT(E27, char(10)), 0, 1)/86400+date(1970,1,1)"),44358.85420138889)</f>
        <v>44358.8542</v>
      </c>
      <c r="G27" s="84" t="s">
        <v>487</v>
      </c>
      <c r="H27" s="84" t="s">
        <v>488</v>
      </c>
      <c r="I27" s="39" t="s">
        <v>17</v>
      </c>
    </row>
    <row r="28">
      <c r="A28" s="75" t="s">
        <v>8</v>
      </c>
      <c r="B28" s="72" t="s">
        <v>359</v>
      </c>
      <c r="C28" s="76">
        <v>74.0</v>
      </c>
      <c r="D28" s="78" t="b">
        <v>1</v>
      </c>
      <c r="E28" s="39">
        <v>1.623443507E9</v>
      </c>
      <c r="F28" s="64">
        <f>IFERROR(__xludf.DUMMYFUNCTION("INDEX(SPLIT(E28, char(10)), 0, 1)/86400+date(1970,1,1)"),44358.85540509259)</f>
        <v>44358.85541</v>
      </c>
      <c r="G28" s="84" t="s">
        <v>489</v>
      </c>
      <c r="H28" s="84" t="s">
        <v>490</v>
      </c>
      <c r="I28" s="39" t="s">
        <v>16</v>
      </c>
    </row>
    <row r="29">
      <c r="A29" s="75" t="s">
        <v>8</v>
      </c>
      <c r="B29" s="72" t="s">
        <v>362</v>
      </c>
      <c r="C29" s="76">
        <v>76.0</v>
      </c>
      <c r="D29" s="78" t="b">
        <v>0</v>
      </c>
      <c r="E29" s="87">
        <v>1.623443638E9</v>
      </c>
      <c r="F29" s="64">
        <f>IFERROR(__xludf.DUMMYFUNCTION("INDEX(SPLIT(E29, char(10)), 0, 1)/86400+date(1970,1,1)"),44358.8569212963)</f>
        <v>44358.85692</v>
      </c>
      <c r="G29" s="84" t="s">
        <v>491</v>
      </c>
      <c r="H29" s="84" t="s">
        <v>492</v>
      </c>
      <c r="I29" s="39" t="s">
        <v>17</v>
      </c>
    </row>
    <row r="30">
      <c r="A30" s="75" t="s">
        <v>130</v>
      </c>
      <c r="B30" s="72" t="s">
        <v>365</v>
      </c>
      <c r="C30" s="76">
        <v>79.0</v>
      </c>
      <c r="D30" s="78" t="b">
        <v>1</v>
      </c>
      <c r="E30" s="87">
        <v>1.623443743E9</v>
      </c>
      <c r="F30" s="64">
        <f>IFERROR(__xludf.DUMMYFUNCTION("INDEX(SPLIT(E30, char(10)), 0, 1)/86400+date(1970,1,1)"),44358.858136574076)</f>
        <v>44358.85814</v>
      </c>
      <c r="G30" s="84" t="s">
        <v>493</v>
      </c>
      <c r="H30" s="84" t="s">
        <v>494</v>
      </c>
      <c r="I30" s="39" t="s">
        <v>16</v>
      </c>
    </row>
    <row r="31">
      <c r="A31" s="75" t="s">
        <v>8</v>
      </c>
      <c r="B31" s="72" t="s">
        <v>368</v>
      </c>
      <c r="C31" s="76">
        <v>81.0</v>
      </c>
      <c r="D31" s="78" t="b">
        <v>1</v>
      </c>
      <c r="E31" s="87">
        <v>1.623443836E9</v>
      </c>
      <c r="F31" s="64">
        <f>IFERROR(__xludf.DUMMYFUNCTION("INDEX(SPLIT(E31, char(10)), 0, 1)/86400+date(1970,1,1)"),44358.85921296296)</f>
        <v>44358.85921</v>
      </c>
      <c r="G31" s="84" t="s">
        <v>495</v>
      </c>
      <c r="H31" s="84" t="s">
        <v>496</v>
      </c>
      <c r="I31" s="39" t="s">
        <v>17</v>
      </c>
    </row>
    <row r="32">
      <c r="A32" s="75" t="s">
        <v>8</v>
      </c>
      <c r="B32" s="72" t="s">
        <v>371</v>
      </c>
      <c r="C32" s="76">
        <v>81.0</v>
      </c>
      <c r="D32" s="78" t="b">
        <v>1</v>
      </c>
      <c r="E32" s="87">
        <v>1.623443966E9</v>
      </c>
      <c r="F32" s="64">
        <f>IFERROR(__xludf.DUMMYFUNCTION("INDEX(SPLIT(E32, char(10)), 0, 1)/86400+date(1970,1,1)"),44358.86071759259)</f>
        <v>44358.86072</v>
      </c>
      <c r="G32" s="84" t="s">
        <v>497</v>
      </c>
      <c r="H32" s="84" t="s">
        <v>498</v>
      </c>
      <c r="I32" s="39" t="s">
        <v>16</v>
      </c>
    </row>
    <row r="33">
      <c r="A33" s="75" t="s">
        <v>8</v>
      </c>
      <c r="B33" s="72" t="s">
        <v>374</v>
      </c>
      <c r="C33" s="76">
        <v>85.0</v>
      </c>
      <c r="D33" s="78" t="b">
        <v>0</v>
      </c>
      <c r="E33" s="87">
        <v>1.62344416E9</v>
      </c>
      <c r="F33" s="64">
        <f>IFERROR(__xludf.DUMMYFUNCTION("INDEX(SPLIT(E33, char(10)), 0, 1)/86400+date(1970,1,1)"),44358.86296296296)</f>
        <v>44358.86296</v>
      </c>
      <c r="G33" s="84" t="s">
        <v>499</v>
      </c>
      <c r="H33" s="84" t="s">
        <v>500</v>
      </c>
      <c r="I33" s="39" t="s">
        <v>17</v>
      </c>
    </row>
    <row r="34">
      <c r="A34" s="75" t="s">
        <v>6</v>
      </c>
      <c r="B34" s="72" t="s">
        <v>377</v>
      </c>
      <c r="C34" s="76">
        <v>88.0</v>
      </c>
      <c r="D34" s="78" t="b">
        <v>0</v>
      </c>
      <c r="E34" s="87">
        <v>1.623444331E9</v>
      </c>
      <c r="F34" s="64">
        <f>IFERROR(__xludf.DUMMYFUNCTION("INDEX(SPLIT(E34, char(10)), 0, 1)/86400+date(1970,1,1)"),44358.86494212963)</f>
        <v>44358.86494</v>
      </c>
      <c r="G34" s="84" t="s">
        <v>501</v>
      </c>
      <c r="H34" s="84" t="s">
        <v>502</v>
      </c>
      <c r="I34" s="39" t="s">
        <v>15</v>
      </c>
    </row>
    <row r="35">
      <c r="A35" s="75" t="s">
        <v>6</v>
      </c>
      <c r="B35" s="72" t="s">
        <v>380</v>
      </c>
      <c r="C35" s="76">
        <v>90.0</v>
      </c>
      <c r="D35" s="78" t="b">
        <v>0</v>
      </c>
      <c r="E35" s="87">
        <v>1.623444488E9</v>
      </c>
      <c r="F35" s="64">
        <f>IFERROR(__xludf.DUMMYFUNCTION("INDEX(SPLIT(E35, char(10)), 0, 1)/86400+date(1970,1,1)"),44358.86675925926)</f>
        <v>44358.86676</v>
      </c>
      <c r="G35" s="84" t="s">
        <v>503</v>
      </c>
      <c r="H35" s="84" t="s">
        <v>504</v>
      </c>
      <c r="I35" s="39" t="s">
        <v>14</v>
      </c>
    </row>
    <row r="36">
      <c r="A36" s="75" t="s">
        <v>7</v>
      </c>
      <c r="B36" s="72" t="s">
        <v>183</v>
      </c>
      <c r="C36" s="76">
        <v>90.0</v>
      </c>
      <c r="D36" s="78" t="b">
        <v>1</v>
      </c>
      <c r="E36" s="87">
        <v>1.623444593E9</v>
      </c>
      <c r="F36" s="64">
        <f>IFERROR(__xludf.DUMMYFUNCTION("INDEX(SPLIT(E36, char(10)), 0, 1)/86400+date(1970,1,1)"),44358.86797453703)</f>
        <v>44358.86797</v>
      </c>
      <c r="G36" s="84" t="s">
        <v>505</v>
      </c>
      <c r="H36" s="84" t="s">
        <v>506</v>
      </c>
      <c r="I36" s="39" t="s">
        <v>17</v>
      </c>
    </row>
    <row r="37">
      <c r="A37" s="75"/>
      <c r="B37" s="72"/>
      <c r="C37" s="76"/>
      <c r="D37" s="77"/>
      <c r="E37" s="87">
        <v>1.623444836E9</v>
      </c>
      <c r="F37" s="64">
        <f>IFERROR(__xludf.DUMMYFUNCTION("INDEX(SPLIT(E37, char(10)), 0, 1)/86400+date(1970,1,1)"),44358.87078703704)</f>
        <v>44358.87079</v>
      </c>
      <c r="G37" s="84" t="s">
        <v>507</v>
      </c>
      <c r="H37" s="84" t="s">
        <v>508</v>
      </c>
      <c r="I37" s="39" t="s">
        <v>16</v>
      </c>
    </row>
    <row r="38">
      <c r="A38" s="75"/>
      <c r="B38" s="72"/>
      <c r="C38" s="76"/>
      <c r="D38" s="77"/>
      <c r="F38" s="80"/>
      <c r="G38" s="84"/>
      <c r="H38" s="84"/>
      <c r="I38" s="40"/>
    </row>
    <row r="39">
      <c r="A39" s="75"/>
      <c r="B39" s="72"/>
      <c r="C39" s="76"/>
      <c r="D39" s="77"/>
      <c r="F39" s="80"/>
      <c r="G39" s="84"/>
      <c r="H39" s="84"/>
      <c r="I39" s="40"/>
    </row>
    <row r="40">
      <c r="A40" s="75"/>
      <c r="B40" s="72"/>
      <c r="C40" s="76"/>
      <c r="D40" s="77"/>
      <c r="F40" s="80"/>
      <c r="G40" s="84"/>
      <c r="H40" s="84"/>
      <c r="I40" s="40"/>
    </row>
    <row r="41">
      <c r="A41" s="75"/>
      <c r="B41" s="72"/>
      <c r="C41" s="76"/>
      <c r="D41" s="77"/>
      <c r="E41" s="82"/>
      <c r="F41" s="64"/>
      <c r="G41" s="81"/>
      <c r="H41" s="81"/>
      <c r="I41" s="40"/>
    </row>
    <row r="42">
      <c r="A42" s="75"/>
      <c r="B42" s="72"/>
      <c r="C42" s="76"/>
      <c r="D42" s="78"/>
      <c r="E42" s="82"/>
      <c r="F42" s="64"/>
      <c r="G42" s="81"/>
      <c r="H42" s="81"/>
      <c r="I42" s="40"/>
    </row>
    <row r="43">
      <c r="A43" s="69"/>
      <c r="B43" s="69"/>
      <c r="C43" s="69"/>
      <c r="D43" s="69"/>
      <c r="E43" s="82"/>
      <c r="F43" s="64"/>
      <c r="G43" s="81"/>
      <c r="H43" s="84"/>
      <c r="I43" s="40"/>
    </row>
    <row r="44">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0.05714285714</v>
      </c>
      <c r="E2" s="39">
        <v>1.59310457E9</v>
      </c>
      <c r="F2" s="64">
        <f>IFERROR(__xludf.DUMMYFUNCTION("INDEX(SPLIT(E2, char(10)), 0, 1)/86400+date(1970,1,1)"),44007.71030092593)</f>
        <v>44007.7103</v>
      </c>
      <c r="G2" s="84" t="s">
        <v>509</v>
      </c>
      <c r="H2" s="84" t="s">
        <v>510</v>
      </c>
      <c r="I2" s="39" t="s">
        <v>14</v>
      </c>
      <c r="J2" s="39"/>
    </row>
    <row r="3">
      <c r="A3" s="39" t="s">
        <v>14</v>
      </c>
      <c r="B3" s="39" t="s">
        <v>101</v>
      </c>
      <c r="C3" s="39">
        <f t="shared" si="1"/>
        <v>5</v>
      </c>
      <c r="D3" s="62">
        <f t="shared" si="2"/>
        <v>0.1428571429</v>
      </c>
      <c r="E3" s="39">
        <v>1.593104741E9</v>
      </c>
      <c r="F3" s="64">
        <f>IFERROR(__xludf.DUMMYFUNCTION("INDEX(SPLIT(E3, char(10)), 0, 1)/86400+date(1970,1,1)"),44007.71228009259)</f>
        <v>44007.71228</v>
      </c>
      <c r="G3" s="84" t="s">
        <v>511</v>
      </c>
      <c r="H3" s="84" t="s">
        <v>512</v>
      </c>
      <c r="I3" s="39" t="s">
        <v>14</v>
      </c>
      <c r="J3" s="39"/>
    </row>
    <row r="4">
      <c r="A4" s="39" t="s">
        <v>15</v>
      </c>
      <c r="B4" s="39" t="s">
        <v>104</v>
      </c>
      <c r="C4" s="39">
        <f t="shared" si="1"/>
        <v>6</v>
      </c>
      <c r="D4" s="62">
        <f t="shared" si="2"/>
        <v>0.1714285714</v>
      </c>
      <c r="E4" s="39">
        <v>1.593104925E9</v>
      </c>
      <c r="F4" s="64">
        <f>IFERROR(__xludf.DUMMYFUNCTION("INDEX(SPLIT(E4, char(10)), 0, 1)/86400+date(1970,1,1)"),44007.71440972222)</f>
        <v>44007.71441</v>
      </c>
      <c r="G4" s="84" t="s">
        <v>320</v>
      </c>
      <c r="H4" s="84" t="s">
        <v>513</v>
      </c>
      <c r="I4" s="39" t="s">
        <v>16</v>
      </c>
      <c r="J4" s="39"/>
    </row>
    <row r="5">
      <c r="A5" s="39" t="s">
        <v>16</v>
      </c>
      <c r="B5" s="39" t="s">
        <v>107</v>
      </c>
      <c r="C5" s="39">
        <f t="shared" si="1"/>
        <v>12</v>
      </c>
      <c r="D5" s="62">
        <f t="shared" si="2"/>
        <v>0.3428571429</v>
      </c>
      <c r="E5" s="39">
        <v>1.593105021E9</v>
      </c>
      <c r="F5" s="64">
        <f>IFERROR(__xludf.DUMMYFUNCTION("INDEX(SPLIT(E5, char(10)), 0, 1)/86400+date(1970,1,1)"),44007.71552083333)</f>
        <v>44007.71552</v>
      </c>
      <c r="G5" s="84" t="s">
        <v>514</v>
      </c>
      <c r="H5" s="84" t="s">
        <v>515</v>
      </c>
      <c r="I5" s="39" t="s">
        <v>17</v>
      </c>
      <c r="J5" s="39"/>
    </row>
    <row r="6">
      <c r="A6" s="39" t="s">
        <v>17</v>
      </c>
      <c r="B6" s="39" t="s">
        <v>110</v>
      </c>
      <c r="C6" s="39">
        <f t="shared" si="1"/>
        <v>10</v>
      </c>
      <c r="D6" s="62">
        <f t="shared" si="2"/>
        <v>0.2857142857</v>
      </c>
      <c r="E6" s="39">
        <v>1.593105117E9</v>
      </c>
      <c r="F6" s="64">
        <f>IFERROR(__xludf.DUMMYFUNCTION("INDEX(SPLIT(E6, char(10)), 0, 1)/86400+date(1970,1,1)"),44007.716631944444)</f>
        <v>44007.71663</v>
      </c>
      <c r="G6" s="84" t="s">
        <v>516</v>
      </c>
      <c r="H6" s="84" t="s">
        <v>517</v>
      </c>
      <c r="I6" s="39" t="s">
        <v>16</v>
      </c>
    </row>
    <row r="7">
      <c r="B7" s="39" t="s">
        <v>13</v>
      </c>
      <c r="C7" s="67">
        <f t="shared" ref="C7:D7" si="3">SUM(C2:C6)</f>
        <v>35</v>
      </c>
      <c r="D7" s="68">
        <f t="shared" si="3"/>
        <v>1</v>
      </c>
      <c r="E7" s="39">
        <v>1.593105214E9</v>
      </c>
      <c r="F7" s="64">
        <f>IFERROR(__xludf.DUMMYFUNCTION("INDEX(SPLIT(E7, char(10)), 0, 1)/86400+date(1970,1,1)"),44007.71775462963)</f>
        <v>44007.71775</v>
      </c>
      <c r="G7" s="84" t="s">
        <v>518</v>
      </c>
      <c r="H7" s="84" t="s">
        <v>519</v>
      </c>
      <c r="I7" s="39" t="s">
        <v>17</v>
      </c>
    </row>
    <row r="8">
      <c r="A8" s="69"/>
      <c r="B8" s="39" t="s">
        <v>18</v>
      </c>
      <c r="C8" s="55">
        <f t="shared" ref="C8:D8" si="4">SUM(C5:C6)</f>
        <v>22</v>
      </c>
      <c r="D8" s="13">
        <f t="shared" si="4"/>
        <v>0.6285714286</v>
      </c>
      <c r="E8" s="39">
        <v>1.593105333E9</v>
      </c>
      <c r="F8" s="64">
        <f>IFERROR(__xludf.DUMMYFUNCTION("INDEX(SPLIT(E8, char(10)), 0, 1)/86400+date(1970,1,1)"),44007.71913194444)</f>
        <v>44007.71913</v>
      </c>
      <c r="G8" s="84" t="s">
        <v>520</v>
      </c>
      <c r="H8" s="84" t="s">
        <v>521</v>
      </c>
      <c r="I8" s="39" t="s">
        <v>75</v>
      </c>
    </row>
    <row r="9">
      <c r="A9" s="69"/>
      <c r="B9" s="39" t="s">
        <v>47</v>
      </c>
      <c r="C9" s="55">
        <f>SUM(C6:C7)</f>
        <v>45</v>
      </c>
      <c r="D9" s="13">
        <f>SUM(D5:D6) + D2</f>
        <v>0.6857142857</v>
      </c>
      <c r="E9" s="39">
        <v>1.593105559E9</v>
      </c>
      <c r="F9" s="64">
        <f>IFERROR(__xludf.DUMMYFUNCTION("INDEX(SPLIT(E9, char(10)), 0, 1)/86400+date(1970,1,1)"),44007.72174768518)</f>
        <v>44007.72175</v>
      </c>
      <c r="G9" s="84" t="s">
        <v>522</v>
      </c>
      <c r="H9" s="84" t="s">
        <v>523</v>
      </c>
      <c r="I9" s="39" t="s">
        <v>14</v>
      </c>
    </row>
    <row r="10">
      <c r="A10" s="69"/>
      <c r="B10" s="69"/>
      <c r="C10" s="69"/>
      <c r="D10" s="69"/>
      <c r="E10" s="39">
        <v>1.59310565E9</v>
      </c>
      <c r="F10" s="64">
        <f>IFERROR(__xludf.DUMMYFUNCTION("INDEX(SPLIT(E10, char(10)), 0, 1)/86400+date(1970,1,1)"),44007.72280092593)</f>
        <v>44007.7228</v>
      </c>
      <c r="G10" s="84" t="s">
        <v>524</v>
      </c>
      <c r="H10" s="84" t="s">
        <v>525</v>
      </c>
      <c r="I10" s="39" t="s">
        <v>16</v>
      </c>
    </row>
    <row r="11">
      <c r="A11" s="69"/>
      <c r="B11" s="69"/>
      <c r="C11" s="69"/>
      <c r="D11" s="69"/>
      <c r="E11" s="39">
        <v>1.593105741E9</v>
      </c>
      <c r="F11" s="64">
        <f>IFERROR(__xludf.DUMMYFUNCTION("INDEX(SPLIT(E11, char(10)), 0, 1)/86400+date(1970,1,1)"),44007.72385416667)</f>
        <v>44007.72385</v>
      </c>
      <c r="G11" s="84" t="s">
        <v>526</v>
      </c>
      <c r="H11" s="84" t="s">
        <v>527</v>
      </c>
      <c r="I11" s="39" t="s">
        <v>17</v>
      </c>
    </row>
    <row r="12">
      <c r="A12" s="70" t="s">
        <v>123</v>
      </c>
      <c r="B12" s="71" t="s">
        <v>528</v>
      </c>
      <c r="C12" s="72"/>
      <c r="D12" s="72"/>
      <c r="E12" s="39">
        <v>1.593105842E9</v>
      </c>
      <c r="F12" s="64">
        <f>IFERROR(__xludf.DUMMYFUNCTION("INDEX(SPLIT(E12, char(10)), 0, 1)/86400+date(1970,1,1)"),44007.725023148145)</f>
        <v>44007.72502</v>
      </c>
      <c r="G12" s="84" t="s">
        <v>529</v>
      </c>
      <c r="H12" s="84" t="s">
        <v>530</v>
      </c>
      <c r="I12" s="39" t="s">
        <v>14</v>
      </c>
    </row>
    <row r="13">
      <c r="A13" s="70" t="s">
        <v>127</v>
      </c>
      <c r="B13" s="72"/>
      <c r="C13" s="70" t="s">
        <v>91</v>
      </c>
      <c r="D13" s="70" t="s">
        <v>92</v>
      </c>
      <c r="E13" s="39">
        <v>1.593105932E9</v>
      </c>
      <c r="F13" s="64">
        <f>IFERROR(__xludf.DUMMYFUNCTION("INDEX(SPLIT(E13, char(10)), 0, 1)/86400+date(1970,1,1)"),44007.726064814815)</f>
        <v>44007.72606</v>
      </c>
      <c r="G13" s="84" t="s">
        <v>531</v>
      </c>
      <c r="H13" s="84" t="s">
        <v>532</v>
      </c>
      <c r="I13" s="39" t="s">
        <v>17</v>
      </c>
    </row>
    <row r="14">
      <c r="A14" s="5" t="s">
        <v>130</v>
      </c>
      <c r="B14" s="5" t="s">
        <v>131</v>
      </c>
      <c r="C14" s="73">
        <f t="shared" ref="C14:C17" si="5">COUNTIF($A$19:$A1000, A14)</f>
        <v>3</v>
      </c>
      <c r="D14" s="74">
        <f>IFERROR(__xludf.DUMMYFUNCTION("IF(C14, COUNTIF(FILTER($D$19:$D1000, $A$19:$A1000=A14), TRUE)/C14, 0)"),1.0)</f>
        <v>1</v>
      </c>
      <c r="E14" s="39">
        <v>1.593106498E9</v>
      </c>
      <c r="F14" s="64">
        <f>IFERROR(__xludf.DUMMYFUNCTION("INDEX(SPLIT(E14, char(10)), 0, 1)/86400+date(1970,1,1)"),44007.73261574074)</f>
        <v>44007.73262</v>
      </c>
      <c r="G14" s="84" t="s">
        <v>533</v>
      </c>
      <c r="H14" s="84" t="s">
        <v>534</v>
      </c>
      <c r="I14" s="39" t="s">
        <v>15</v>
      </c>
    </row>
    <row r="15">
      <c r="A15" s="5" t="s">
        <v>6</v>
      </c>
      <c r="B15" s="5" t="s">
        <v>134</v>
      </c>
      <c r="C15" s="73">
        <f t="shared" si="5"/>
        <v>3</v>
      </c>
      <c r="D15" s="74">
        <f>IFERROR(__xludf.DUMMYFUNCTION("IF(C15, COUNTIF(FILTER($D$19:$D1000, $A$19:$A1000=A15), TRUE)/C15, 0)"),0.6666666666666666)</f>
        <v>0.6666666667</v>
      </c>
      <c r="E15" s="39">
        <v>1.593106608E9</v>
      </c>
      <c r="F15" s="64">
        <f>IFERROR(__xludf.DUMMYFUNCTION("INDEX(SPLIT(E15, char(10)), 0, 1)/86400+date(1970,1,1)"),44007.73388888889)</f>
        <v>44007.73389</v>
      </c>
      <c r="G15" s="84" t="s">
        <v>535</v>
      </c>
      <c r="H15" s="84" t="s">
        <v>536</v>
      </c>
      <c r="I15" s="39" t="s">
        <v>15</v>
      </c>
    </row>
    <row r="16">
      <c r="A16" s="5" t="s">
        <v>7</v>
      </c>
      <c r="B16" s="5" t="s">
        <v>137</v>
      </c>
      <c r="C16" s="73">
        <f t="shared" si="5"/>
        <v>4</v>
      </c>
      <c r="D16" s="74">
        <f>IFERROR(__xludf.DUMMYFUNCTION("IF(C16, COUNTIF(FILTER($D$19:$D1000, $A$19:$A1000=A16), TRUE)/C16, 0)"),0.5)</f>
        <v>0.5</v>
      </c>
      <c r="E16" s="39">
        <v>1.593106945E9</v>
      </c>
      <c r="F16" s="64">
        <f>IFERROR(__xludf.DUMMYFUNCTION("INDEX(SPLIT(E16, char(10)), 0, 1)/86400+date(1970,1,1)"),44007.73778935186)</f>
        <v>44007.73779</v>
      </c>
      <c r="G16" s="84" t="s">
        <v>537</v>
      </c>
      <c r="H16" s="84" t="s">
        <v>538</v>
      </c>
      <c r="I16" s="39" t="s">
        <v>15</v>
      </c>
    </row>
    <row r="17">
      <c r="A17" s="5" t="s">
        <v>8</v>
      </c>
      <c r="B17" s="5" t="s">
        <v>79</v>
      </c>
      <c r="C17" s="73">
        <f t="shared" si="5"/>
        <v>8</v>
      </c>
      <c r="D17" s="74">
        <f>IFERROR(__xludf.DUMMYFUNCTION("IF(C17, COUNTIF(FILTER($D$19:$D1000, $A$19:$A1000=A17), TRUE)/C17, 0)"),0.75)</f>
        <v>0.75</v>
      </c>
      <c r="E17" s="39">
        <v>1.5931071E9</v>
      </c>
      <c r="F17" s="64">
        <f>IFERROR(__xludf.DUMMYFUNCTION("INDEX(SPLIT(E17, char(10)), 0, 1)/86400+date(1970,1,1)"),44007.73958333333)</f>
        <v>44007.73958</v>
      </c>
      <c r="G17" s="84" t="s">
        <v>539</v>
      </c>
      <c r="H17" s="84" t="s">
        <v>540</v>
      </c>
      <c r="I17" s="39" t="s">
        <v>17</v>
      </c>
    </row>
    <row r="18">
      <c r="A18" s="72"/>
      <c r="B18" s="70" t="s">
        <v>9</v>
      </c>
      <c r="C18" s="73">
        <f>SUM(C14:C17)</f>
        <v>18</v>
      </c>
      <c r="D18" s="74">
        <f>COUNTIF($D$19:$D1000, TRUE)/SUM($C$14:$C$17)</f>
        <v>0.7222222222</v>
      </c>
      <c r="E18" s="39">
        <v>1.593107327E9</v>
      </c>
      <c r="F18" s="64">
        <f>IFERROR(__xludf.DUMMYFUNCTION("INDEX(SPLIT(E18, char(10)), 0, 1)/86400+date(1970,1,1)"),44007.74221064815)</f>
        <v>44007.74221</v>
      </c>
      <c r="G18" s="84" t="s">
        <v>541</v>
      </c>
      <c r="H18" s="84" t="s">
        <v>542</v>
      </c>
      <c r="I18" s="39" t="s">
        <v>17</v>
      </c>
    </row>
    <row r="19">
      <c r="A19" s="75" t="s">
        <v>7</v>
      </c>
      <c r="B19" s="75" t="s">
        <v>149</v>
      </c>
      <c r="C19" s="76">
        <v>1.0</v>
      </c>
      <c r="D19" s="78" t="b">
        <v>0</v>
      </c>
      <c r="E19" s="39">
        <v>1.593107461E9</v>
      </c>
      <c r="F19" s="64">
        <f>IFERROR(__xludf.DUMMYFUNCTION("INDEX(SPLIT(E19, char(10)), 0, 1)/86400+date(1970,1,1)"),44007.74376157408)</f>
        <v>44007.74376</v>
      </c>
      <c r="G19" s="84" t="s">
        <v>329</v>
      </c>
      <c r="H19" s="84" t="s">
        <v>543</v>
      </c>
      <c r="I19" s="39" t="s">
        <v>15</v>
      </c>
    </row>
    <row r="20">
      <c r="A20" s="75" t="s">
        <v>130</v>
      </c>
      <c r="B20" s="75" t="s">
        <v>544</v>
      </c>
      <c r="C20" s="76">
        <v>8.0</v>
      </c>
      <c r="D20" s="78" t="b">
        <v>1</v>
      </c>
      <c r="E20" s="39">
        <v>1.593108171E9</v>
      </c>
      <c r="F20" s="64">
        <f>IFERROR(__xludf.DUMMYFUNCTION("INDEX(SPLIT(E20, char(10)), 0, 1)/86400+date(1970,1,1)"),44007.75197916667)</f>
        <v>44007.75198</v>
      </c>
      <c r="G20" s="84" t="s">
        <v>545</v>
      </c>
      <c r="H20" s="84" t="s">
        <v>546</v>
      </c>
      <c r="I20" s="39" t="s">
        <v>16</v>
      </c>
    </row>
    <row r="21">
      <c r="A21" s="75" t="s">
        <v>6</v>
      </c>
      <c r="B21" s="75" t="s">
        <v>547</v>
      </c>
      <c r="C21" s="76">
        <v>11.0</v>
      </c>
      <c r="D21" s="78" t="b">
        <v>1</v>
      </c>
      <c r="E21" s="39">
        <v>1.593108314E9</v>
      </c>
      <c r="F21" s="64">
        <f>IFERROR(__xludf.DUMMYFUNCTION("INDEX(SPLIT(E21, char(10)), 0, 1)/86400+date(1970,1,1)"),44007.75363425926)</f>
        <v>44007.75363</v>
      </c>
      <c r="G21" s="84" t="s">
        <v>548</v>
      </c>
      <c r="H21" s="84" t="s">
        <v>549</v>
      </c>
      <c r="I21" s="39" t="s">
        <v>16</v>
      </c>
    </row>
    <row r="22">
      <c r="A22" s="75" t="s">
        <v>130</v>
      </c>
      <c r="B22" s="75" t="s">
        <v>550</v>
      </c>
      <c r="C22" s="76">
        <v>20.0</v>
      </c>
      <c r="D22" s="78" t="b">
        <v>1</v>
      </c>
      <c r="E22" s="39">
        <v>1.593108444E9</v>
      </c>
      <c r="F22" s="64">
        <f>IFERROR(__xludf.DUMMYFUNCTION("INDEX(SPLIT(E22, char(10)), 0, 1)/86400+date(1970,1,1)"),44007.75513888889)</f>
        <v>44007.75514</v>
      </c>
      <c r="G22" s="84" t="s">
        <v>551</v>
      </c>
      <c r="H22" s="84" t="s">
        <v>552</v>
      </c>
      <c r="I22" s="39" t="s">
        <v>16</v>
      </c>
    </row>
    <row r="23">
      <c r="A23" s="75" t="s">
        <v>7</v>
      </c>
      <c r="B23" s="75" t="s">
        <v>155</v>
      </c>
      <c r="C23" s="76">
        <v>45.0</v>
      </c>
      <c r="D23" s="78" t="b">
        <v>0</v>
      </c>
      <c r="E23" s="39">
        <v>1.593108857E9</v>
      </c>
      <c r="F23" s="64">
        <f>IFERROR(__xludf.DUMMYFUNCTION("INDEX(SPLIT(E23, char(10)), 0, 1)/86400+date(1970,1,1)"),44007.75991898148)</f>
        <v>44007.75992</v>
      </c>
      <c r="G23" s="84" t="s">
        <v>553</v>
      </c>
      <c r="H23" s="84" t="s">
        <v>554</v>
      </c>
      <c r="I23" s="39" t="s">
        <v>17</v>
      </c>
    </row>
    <row r="24">
      <c r="A24" s="5" t="s">
        <v>7</v>
      </c>
      <c r="B24" s="5" t="s">
        <v>158</v>
      </c>
      <c r="C24" s="76">
        <v>45.0</v>
      </c>
      <c r="D24" s="78" t="b">
        <v>1</v>
      </c>
      <c r="E24" s="39">
        <v>1.593109334E9</v>
      </c>
      <c r="F24" s="64">
        <f>IFERROR(__xludf.DUMMYFUNCTION("INDEX(SPLIT(E24, char(10)), 0, 1)/86400+date(1970,1,1)"),44007.765439814815)</f>
        <v>44007.76544</v>
      </c>
      <c r="G24" s="84" t="s">
        <v>555</v>
      </c>
      <c r="H24" s="84" t="s">
        <v>556</v>
      </c>
      <c r="I24" s="39" t="s">
        <v>16</v>
      </c>
    </row>
    <row r="25">
      <c r="A25" s="75" t="s">
        <v>8</v>
      </c>
      <c r="B25" s="72" t="s">
        <v>557</v>
      </c>
      <c r="C25" s="76">
        <v>46.0</v>
      </c>
      <c r="D25" s="78" t="b">
        <v>1</v>
      </c>
      <c r="E25" s="39">
        <v>1.593109436E9</v>
      </c>
      <c r="F25" s="64">
        <f>IFERROR(__xludf.DUMMYFUNCTION("INDEX(SPLIT(E25, char(10)), 0, 1)/86400+date(1970,1,1)"),44007.76662037037)</f>
        <v>44007.76662</v>
      </c>
      <c r="G25" s="84" t="s">
        <v>465</v>
      </c>
      <c r="H25" s="84" t="s">
        <v>558</v>
      </c>
      <c r="I25" s="39" t="s">
        <v>75</v>
      </c>
    </row>
    <row r="26">
      <c r="A26" s="75" t="s">
        <v>8</v>
      </c>
      <c r="B26" s="72" t="s">
        <v>559</v>
      </c>
      <c r="C26" s="76">
        <v>46.0</v>
      </c>
      <c r="D26" s="78" t="b">
        <v>1</v>
      </c>
      <c r="E26" s="39">
        <v>1.59310956E9</v>
      </c>
      <c r="F26" s="64">
        <f>IFERROR(__xludf.DUMMYFUNCTION("INDEX(SPLIT(E26, char(10)), 0, 1)/86400+date(1970,1,1)"),44007.768055555556)</f>
        <v>44007.76806</v>
      </c>
      <c r="G26" s="84" t="s">
        <v>560</v>
      </c>
      <c r="H26" s="84" t="s">
        <v>561</v>
      </c>
      <c r="I26" s="39" t="s">
        <v>15</v>
      </c>
    </row>
    <row r="27">
      <c r="A27" s="75" t="s">
        <v>6</v>
      </c>
      <c r="B27" s="72" t="s">
        <v>562</v>
      </c>
      <c r="C27" s="76">
        <v>47.0</v>
      </c>
      <c r="D27" s="78" t="b">
        <v>0</v>
      </c>
      <c r="E27" s="39">
        <v>1.593109691E9</v>
      </c>
      <c r="F27" s="64">
        <f>IFERROR(__xludf.DUMMYFUNCTION("INDEX(SPLIT(E27, char(10)), 0, 1)/86400+date(1970,1,1)"),44007.76957175926)</f>
        <v>44007.76957</v>
      </c>
      <c r="G27" s="84" t="s">
        <v>563</v>
      </c>
      <c r="H27" s="84" t="s">
        <v>564</v>
      </c>
      <c r="I27" s="39" t="s">
        <v>16</v>
      </c>
    </row>
    <row r="28">
      <c r="A28" s="75" t="s">
        <v>8</v>
      </c>
      <c r="B28" s="72" t="s">
        <v>565</v>
      </c>
      <c r="C28" s="76">
        <v>64.0</v>
      </c>
      <c r="D28" s="78" t="b">
        <v>1</v>
      </c>
      <c r="E28" s="39">
        <v>1.593109788E9</v>
      </c>
      <c r="F28" s="64">
        <f>IFERROR(__xludf.DUMMYFUNCTION("INDEX(SPLIT(E28, char(10)), 0, 1)/86400+date(1970,1,1)"),44007.77069444444)</f>
        <v>44007.77069</v>
      </c>
      <c r="G28" s="84" t="s">
        <v>566</v>
      </c>
      <c r="H28" s="84" t="s">
        <v>567</v>
      </c>
      <c r="I28" s="39" t="s">
        <v>17</v>
      </c>
    </row>
    <row r="29">
      <c r="A29" s="75" t="s">
        <v>8</v>
      </c>
      <c r="B29" s="72" t="s">
        <v>568</v>
      </c>
      <c r="C29" s="76">
        <v>70.0</v>
      </c>
      <c r="D29" s="78" t="b">
        <v>1</v>
      </c>
      <c r="E29" s="39">
        <v>1.593110286E9</v>
      </c>
      <c r="F29" s="64">
        <f>IFERROR(__xludf.DUMMYFUNCTION("INDEX(SPLIT(E29, char(10)), 0, 1)/86400+date(1970,1,1)"),44007.776458333334)</f>
        <v>44007.77646</v>
      </c>
      <c r="G29" s="84" t="s">
        <v>569</v>
      </c>
      <c r="H29" s="84" t="s">
        <v>570</v>
      </c>
      <c r="I29" s="39" t="s">
        <v>16</v>
      </c>
    </row>
    <row r="30">
      <c r="A30" s="75" t="s">
        <v>8</v>
      </c>
      <c r="B30" s="72" t="s">
        <v>571</v>
      </c>
      <c r="C30" s="76">
        <v>79.0</v>
      </c>
      <c r="D30" s="78" t="b">
        <v>1</v>
      </c>
      <c r="E30" s="39">
        <v>1.593110419E9</v>
      </c>
      <c r="F30" s="64">
        <f>IFERROR(__xludf.DUMMYFUNCTION("INDEX(SPLIT(E30, char(10)), 0, 1)/86400+date(1970,1,1)"),44007.77799768519)</f>
        <v>44007.778</v>
      </c>
      <c r="G30" s="84" t="s">
        <v>572</v>
      </c>
      <c r="H30" s="84" t="s">
        <v>573</v>
      </c>
      <c r="I30" s="39" t="s">
        <v>17</v>
      </c>
    </row>
    <row r="31">
      <c r="A31" s="75" t="s">
        <v>8</v>
      </c>
      <c r="B31" s="72" t="s">
        <v>574</v>
      </c>
      <c r="C31" s="76">
        <v>80.0</v>
      </c>
      <c r="D31" s="78" t="b">
        <v>1</v>
      </c>
      <c r="E31" s="39">
        <v>1.593110628E9</v>
      </c>
      <c r="F31" s="64">
        <f>IFERROR(__xludf.DUMMYFUNCTION("INDEX(SPLIT(E31, char(10)), 0, 1)/86400+date(1970,1,1)"),44007.78041666667)</f>
        <v>44007.78042</v>
      </c>
      <c r="G31" s="84" t="s">
        <v>575</v>
      </c>
      <c r="H31" s="84" t="s">
        <v>576</v>
      </c>
      <c r="I31" s="39" t="s">
        <v>16</v>
      </c>
    </row>
    <row r="32">
      <c r="A32" s="75" t="s">
        <v>6</v>
      </c>
      <c r="B32" s="72" t="s">
        <v>577</v>
      </c>
      <c r="C32" s="76">
        <v>85.0</v>
      </c>
      <c r="D32" s="78" t="b">
        <v>1</v>
      </c>
      <c r="E32" s="39">
        <v>1.593110737E9</v>
      </c>
      <c r="F32" s="64">
        <f>IFERROR(__xludf.DUMMYFUNCTION("INDEX(SPLIT(E32, char(10)), 0, 1)/86400+date(1970,1,1)"),44007.78167824074)</f>
        <v>44007.78168</v>
      </c>
      <c r="G32" s="84" t="s">
        <v>578</v>
      </c>
      <c r="H32" s="84" t="s">
        <v>579</v>
      </c>
      <c r="I32" s="39" t="s">
        <v>17</v>
      </c>
    </row>
    <row r="33">
      <c r="A33" s="75" t="s">
        <v>130</v>
      </c>
      <c r="B33" s="72" t="s">
        <v>580</v>
      </c>
      <c r="C33" s="76">
        <v>86.0</v>
      </c>
      <c r="D33" s="78" t="b">
        <v>1</v>
      </c>
      <c r="E33" s="39">
        <v>1.593110839E9</v>
      </c>
      <c r="F33" s="64">
        <f>IFERROR(__xludf.DUMMYFUNCTION("INDEX(SPLIT(E33, char(10)), 0, 1)/86400+date(1970,1,1)"),44007.7828587963)</f>
        <v>44007.78286</v>
      </c>
      <c r="G33" s="84" t="s">
        <v>581</v>
      </c>
      <c r="H33" s="84" t="s">
        <v>582</v>
      </c>
      <c r="I33" s="39" t="s">
        <v>16</v>
      </c>
    </row>
    <row r="34">
      <c r="A34" s="75" t="s">
        <v>8</v>
      </c>
      <c r="B34" s="72" t="s">
        <v>583</v>
      </c>
      <c r="C34" s="76">
        <v>90.0</v>
      </c>
      <c r="D34" s="78" t="b">
        <v>0</v>
      </c>
      <c r="E34" s="39">
        <v>1.593110984E9</v>
      </c>
      <c r="F34" s="64">
        <f>IFERROR(__xludf.DUMMYFUNCTION("INDEX(SPLIT(E34, char(10)), 0, 1)/86400+date(1970,1,1)"),44007.784537037034)</f>
        <v>44007.78454</v>
      </c>
      <c r="G34" s="84" t="s">
        <v>584</v>
      </c>
      <c r="H34" s="84" t="s">
        <v>585</v>
      </c>
      <c r="I34" s="39" t="s">
        <v>14</v>
      </c>
    </row>
    <row r="35">
      <c r="A35" s="75" t="s">
        <v>8</v>
      </c>
      <c r="B35" s="72" t="s">
        <v>586</v>
      </c>
      <c r="C35" s="76">
        <v>90.0</v>
      </c>
      <c r="D35" s="78" t="b">
        <v>0</v>
      </c>
      <c r="E35" s="39">
        <v>1.593111142E9</v>
      </c>
      <c r="F35" s="64">
        <f>IFERROR(__xludf.DUMMYFUNCTION("INDEX(SPLIT(E35, char(10)), 0, 1)/86400+date(1970,1,1)"),44007.78636574074)</f>
        <v>44007.78637</v>
      </c>
      <c r="G35" s="84" t="s">
        <v>587</v>
      </c>
      <c r="H35" s="84" t="s">
        <v>588</v>
      </c>
      <c r="I35" s="39" t="s">
        <v>15</v>
      </c>
    </row>
    <row r="36">
      <c r="A36" s="75" t="s">
        <v>7</v>
      </c>
      <c r="B36" s="72" t="s">
        <v>183</v>
      </c>
      <c r="C36" s="76">
        <v>90.0</v>
      </c>
      <c r="D36" s="78" t="b">
        <v>1</v>
      </c>
      <c r="E36" s="39">
        <v>1.593111381E9</v>
      </c>
      <c r="F36" s="64">
        <f>IFERROR(__xludf.DUMMYFUNCTION("INDEX(SPLIT(E36, char(10)), 0, 1)/86400+date(1970,1,1)"),44007.789131944446)</f>
        <v>44007.78913</v>
      </c>
      <c r="G36" s="84" t="s">
        <v>589</v>
      </c>
      <c r="H36" s="84" t="s">
        <v>590</v>
      </c>
      <c r="I36" s="39" t="s">
        <v>16</v>
      </c>
    </row>
    <row r="37">
      <c r="A37" s="75"/>
      <c r="B37" s="72"/>
      <c r="C37" s="76"/>
      <c r="D37" s="77"/>
      <c r="E37" s="82"/>
      <c r="F37" s="64"/>
      <c r="G37" s="81"/>
      <c r="H37" s="81"/>
      <c r="I37" s="40"/>
    </row>
    <row r="38">
      <c r="A38" s="75"/>
      <c r="B38" s="72"/>
      <c r="C38" s="76"/>
      <c r="D38" s="77"/>
      <c r="E38" s="82"/>
      <c r="F38" s="64"/>
      <c r="G38" s="81"/>
      <c r="H38" s="81"/>
      <c r="I38" s="40"/>
    </row>
    <row r="39">
      <c r="A39" s="75"/>
      <c r="B39" s="72"/>
      <c r="C39" s="76"/>
      <c r="D39" s="77"/>
      <c r="E39" s="82"/>
      <c r="F39" s="64"/>
      <c r="G39" s="81"/>
      <c r="H39" s="81"/>
      <c r="I39" s="40"/>
    </row>
    <row r="40">
      <c r="A40" s="75"/>
      <c r="B40" s="72"/>
      <c r="C40" s="76"/>
      <c r="D40" s="77"/>
      <c r="E40" s="82"/>
      <c r="F40" s="64"/>
      <c r="G40" s="81"/>
      <c r="H40" s="84"/>
      <c r="I40" s="40"/>
    </row>
    <row r="41">
      <c r="A41" s="75"/>
      <c r="B41" s="72"/>
      <c r="C41" s="76"/>
      <c r="D41" s="77"/>
      <c r="E41" s="82"/>
      <c r="F41" s="64"/>
      <c r="G41" s="81"/>
      <c r="H41" s="81"/>
      <c r="I41" s="40"/>
    </row>
    <row r="42">
      <c r="A42" s="75"/>
      <c r="B42" s="72"/>
      <c r="C42" s="76"/>
      <c r="D42" s="78"/>
      <c r="E42" s="82"/>
      <c r="F42" s="64"/>
      <c r="G42" s="81"/>
      <c r="H42" s="81"/>
      <c r="I42" s="40"/>
    </row>
    <row r="43">
      <c r="A43" s="69"/>
      <c r="B43" s="69"/>
      <c r="C43" s="69"/>
      <c r="D43" s="69"/>
      <c r="E43" s="82"/>
      <c r="F43" s="64"/>
      <c r="G43" s="81"/>
      <c r="H43" s="84"/>
      <c r="I43" s="40"/>
    </row>
    <row r="44">
      <c r="D44" s="69"/>
      <c r="E44" s="82"/>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0</v>
      </c>
      <c r="D2" s="62">
        <f t="shared" ref="D2:D6" si="2">C2/COUNTA(I$2:I1000)</f>
        <v>0</v>
      </c>
      <c r="E2" s="87">
        <v>1.59310457E9</v>
      </c>
      <c r="F2" s="64">
        <f>IFERROR(__xludf.DUMMYFUNCTION("INDEX(SPLIT(E2, char(10)), 0, 1)/86400+date(1970,1,1)"),44007.71030092593)</f>
        <v>44007.7103</v>
      </c>
      <c r="G2" s="84" t="s">
        <v>591</v>
      </c>
      <c r="H2" s="84" t="s">
        <v>592</v>
      </c>
      <c r="I2" s="39" t="s">
        <v>14</v>
      </c>
      <c r="J2" s="39"/>
    </row>
    <row r="3">
      <c r="A3" s="39" t="s">
        <v>14</v>
      </c>
      <c r="B3" s="39" t="s">
        <v>101</v>
      </c>
      <c r="C3" s="39">
        <f t="shared" si="1"/>
        <v>3</v>
      </c>
      <c r="D3" s="62">
        <f t="shared" si="2"/>
        <v>0.15</v>
      </c>
      <c r="E3" s="87">
        <v>1.593104925E9</v>
      </c>
      <c r="F3" s="64">
        <f>IFERROR(__xludf.DUMMYFUNCTION("INDEX(SPLIT(E3, char(10)), 0, 1)/86400+date(1970,1,1)"),44007.71440972222)</f>
        <v>44007.71441</v>
      </c>
      <c r="G3" s="84" t="s">
        <v>320</v>
      </c>
      <c r="H3" s="84" t="s">
        <v>513</v>
      </c>
      <c r="I3" s="39" t="s">
        <v>16</v>
      </c>
      <c r="J3" s="39"/>
    </row>
    <row r="4">
      <c r="A4" s="39" t="s">
        <v>15</v>
      </c>
      <c r="B4" s="39" t="s">
        <v>104</v>
      </c>
      <c r="C4" s="39">
        <f t="shared" si="1"/>
        <v>0</v>
      </c>
      <c r="D4" s="62">
        <f t="shared" si="2"/>
        <v>0</v>
      </c>
      <c r="E4" s="87">
        <v>1.593105021E9</v>
      </c>
      <c r="F4" s="64">
        <f>IFERROR(__xludf.DUMMYFUNCTION("INDEX(SPLIT(E4, char(10)), 0, 1)/86400+date(1970,1,1)"),44007.71552083333)</f>
        <v>44007.71552</v>
      </c>
      <c r="G4" s="84" t="s">
        <v>593</v>
      </c>
      <c r="H4" s="84" t="s">
        <v>594</v>
      </c>
      <c r="I4" s="39" t="s">
        <v>17</v>
      </c>
      <c r="J4" s="39"/>
    </row>
    <row r="5">
      <c r="A5" s="39" t="s">
        <v>16</v>
      </c>
      <c r="B5" s="39" t="s">
        <v>107</v>
      </c>
      <c r="C5" s="39">
        <f t="shared" si="1"/>
        <v>8</v>
      </c>
      <c r="D5" s="62">
        <f t="shared" si="2"/>
        <v>0.4</v>
      </c>
      <c r="E5" s="87">
        <v>1.593105117E9</v>
      </c>
      <c r="F5" s="64">
        <f>IFERROR(__xludf.DUMMYFUNCTION("INDEX(SPLIT(E5, char(10)), 0, 1)/86400+date(1970,1,1)"),44007.716631944444)</f>
        <v>44007.71663</v>
      </c>
      <c r="G5" s="84" t="s">
        <v>595</v>
      </c>
      <c r="H5" s="84" t="s">
        <v>596</v>
      </c>
      <c r="I5" s="39" t="s">
        <v>16</v>
      </c>
      <c r="J5" s="39"/>
    </row>
    <row r="6">
      <c r="A6" s="39" t="s">
        <v>17</v>
      </c>
      <c r="B6" s="39" t="s">
        <v>110</v>
      </c>
      <c r="C6" s="39">
        <f t="shared" si="1"/>
        <v>9</v>
      </c>
      <c r="D6" s="62">
        <f t="shared" si="2"/>
        <v>0.45</v>
      </c>
      <c r="E6" s="87">
        <v>1.593105244E9</v>
      </c>
      <c r="F6" s="64">
        <f>IFERROR(__xludf.DUMMYFUNCTION("INDEX(SPLIT(E6, char(10)), 0, 1)/86400+date(1970,1,1)"),44007.71810185185)</f>
        <v>44007.7181</v>
      </c>
      <c r="G6" s="84" t="s">
        <v>597</v>
      </c>
      <c r="H6" s="84" t="s">
        <v>512</v>
      </c>
      <c r="I6" s="39" t="s">
        <v>14</v>
      </c>
    </row>
    <row r="7">
      <c r="B7" s="39" t="s">
        <v>13</v>
      </c>
      <c r="C7" s="67">
        <f t="shared" ref="C7:D7" si="3">SUM(C2:C6)</f>
        <v>20</v>
      </c>
      <c r="D7" s="68">
        <f t="shared" si="3"/>
        <v>1</v>
      </c>
      <c r="E7" s="87">
        <v>1.593105352E9</v>
      </c>
      <c r="F7" s="64">
        <f>IFERROR(__xludf.DUMMYFUNCTION("INDEX(SPLIT(E7, char(10)), 0, 1)/86400+date(1970,1,1)"),44007.71935185185)</f>
        <v>44007.71935</v>
      </c>
      <c r="G7" s="84" t="s">
        <v>598</v>
      </c>
      <c r="H7" s="84" t="s">
        <v>599</v>
      </c>
      <c r="I7" s="39" t="s">
        <v>17</v>
      </c>
    </row>
    <row r="8">
      <c r="A8" s="69"/>
      <c r="B8" s="39" t="s">
        <v>18</v>
      </c>
      <c r="C8" s="55">
        <f t="shared" ref="C8:D8" si="4">SUM(C5:C6)</f>
        <v>17</v>
      </c>
      <c r="D8" s="13">
        <f t="shared" si="4"/>
        <v>0.85</v>
      </c>
      <c r="E8" s="87">
        <v>1.59310565E9</v>
      </c>
      <c r="F8" s="64">
        <f>IFERROR(__xludf.DUMMYFUNCTION("INDEX(SPLIT(E8, char(10)), 0, 1)/86400+date(1970,1,1)"),44007.72280092593)</f>
        <v>44007.7228</v>
      </c>
      <c r="G8" s="84" t="s">
        <v>600</v>
      </c>
      <c r="H8" s="84" t="s">
        <v>601</v>
      </c>
      <c r="I8" s="39" t="s">
        <v>16</v>
      </c>
    </row>
    <row r="9">
      <c r="A9" s="69"/>
      <c r="B9" s="39" t="s">
        <v>47</v>
      </c>
      <c r="C9" s="55">
        <f>SUM(C6:C7)</f>
        <v>29</v>
      </c>
      <c r="D9" s="13">
        <f>SUM(D5:D6) + D2</f>
        <v>0.85</v>
      </c>
      <c r="E9" s="87">
        <v>1.59310578E9</v>
      </c>
      <c r="F9" s="64">
        <f>IFERROR(__xludf.DUMMYFUNCTION("INDEX(SPLIT(E9, char(10)), 0, 1)/86400+date(1970,1,1)"),44007.72430555556)</f>
        <v>44007.72431</v>
      </c>
      <c r="G9" s="84" t="s">
        <v>602</v>
      </c>
      <c r="H9" s="84" t="s">
        <v>603</v>
      </c>
      <c r="I9" s="39" t="s">
        <v>17</v>
      </c>
    </row>
    <row r="10">
      <c r="A10" s="69"/>
      <c r="B10" s="69"/>
      <c r="C10" s="69"/>
      <c r="D10" s="69"/>
      <c r="E10" s="87">
        <v>1.593105971E9</v>
      </c>
      <c r="F10" s="64">
        <f>IFERROR(__xludf.DUMMYFUNCTION("INDEX(SPLIT(E10, char(10)), 0, 1)/86400+date(1970,1,1)"),44007.72651620371)</f>
        <v>44007.72652</v>
      </c>
      <c r="G10" s="84" t="s">
        <v>604</v>
      </c>
      <c r="H10" s="84" t="s">
        <v>605</v>
      </c>
      <c r="I10" s="39" t="s">
        <v>17</v>
      </c>
    </row>
    <row r="11">
      <c r="A11" s="69"/>
      <c r="B11" s="69"/>
      <c r="C11" s="69"/>
      <c r="D11" s="69"/>
      <c r="E11" s="87">
        <v>1.59310736E9</v>
      </c>
      <c r="F11" s="64">
        <f>IFERROR(__xludf.DUMMYFUNCTION("INDEX(SPLIT(E11, char(10)), 0, 1)/86400+date(1970,1,1)"),44007.74259259259)</f>
        <v>44007.74259</v>
      </c>
      <c r="G11" s="84" t="s">
        <v>448</v>
      </c>
      <c r="H11" s="84" t="s">
        <v>606</v>
      </c>
      <c r="I11" s="39" t="s">
        <v>16</v>
      </c>
    </row>
    <row r="12">
      <c r="A12" s="70" t="s">
        <v>123</v>
      </c>
      <c r="B12" s="71" t="s">
        <v>607</v>
      </c>
      <c r="C12" s="72"/>
      <c r="D12" s="72"/>
      <c r="E12" s="87">
        <v>1.593108262E9</v>
      </c>
      <c r="F12" s="64">
        <f>IFERROR(__xludf.DUMMYFUNCTION("INDEX(SPLIT(E12, char(10)), 0, 1)/86400+date(1970,1,1)"),44007.7530324074)</f>
        <v>44007.75303</v>
      </c>
      <c r="G12" s="84" t="s">
        <v>608</v>
      </c>
      <c r="H12" s="84" t="s">
        <v>609</v>
      </c>
      <c r="I12" s="39" t="s">
        <v>16</v>
      </c>
    </row>
    <row r="13">
      <c r="A13" s="70" t="s">
        <v>127</v>
      </c>
      <c r="B13" s="72"/>
      <c r="C13" s="70" t="s">
        <v>91</v>
      </c>
      <c r="D13" s="70" t="s">
        <v>92</v>
      </c>
      <c r="E13" s="87">
        <v>1.593108436E9</v>
      </c>
      <c r="F13" s="64">
        <f>IFERROR(__xludf.DUMMYFUNCTION("INDEX(SPLIT(E13, char(10)), 0, 1)/86400+date(1970,1,1)"),44007.7550462963)</f>
        <v>44007.75505</v>
      </c>
      <c r="G13" s="84" t="s">
        <v>610</v>
      </c>
      <c r="H13" s="84" t="s">
        <v>611</v>
      </c>
      <c r="I13" s="39" t="s">
        <v>17</v>
      </c>
    </row>
    <row r="14">
      <c r="A14" s="5" t="s">
        <v>130</v>
      </c>
      <c r="B14" s="5" t="s">
        <v>131</v>
      </c>
      <c r="C14" s="73">
        <f t="shared" ref="C14:C17" si="5">COUNTIF($A$19:$A1000, A14)</f>
        <v>3</v>
      </c>
      <c r="D14" s="74">
        <f>IFERROR(__xludf.DUMMYFUNCTION("IF(C14, COUNTIF(FILTER($D$19:$D1000, $A$19:$A1000=A14), TRUE)/C14, 0)"),1.0)</f>
        <v>1</v>
      </c>
      <c r="E14" s="87">
        <v>1.593108921E9</v>
      </c>
      <c r="F14" s="64">
        <f>IFERROR(__xludf.DUMMYFUNCTION("INDEX(SPLIT(E14, char(10)), 0, 1)/86400+date(1970,1,1)"),44007.76065972222)</f>
        <v>44007.76066</v>
      </c>
      <c r="G14" s="84" t="s">
        <v>612</v>
      </c>
      <c r="H14" s="84" t="s">
        <v>613</v>
      </c>
      <c r="I14" s="39" t="s">
        <v>17</v>
      </c>
    </row>
    <row r="15">
      <c r="A15" s="5" t="s">
        <v>6</v>
      </c>
      <c r="B15" s="5" t="s">
        <v>134</v>
      </c>
      <c r="C15" s="73">
        <f t="shared" si="5"/>
        <v>3</v>
      </c>
      <c r="D15" s="74">
        <f>IFERROR(__xludf.DUMMYFUNCTION("IF(C15, COUNTIF(FILTER($D$19:$D1000, $A$19:$A1000=A15), TRUE)/C15, 0)"),0.6666666666666666)</f>
        <v>0.6666666667</v>
      </c>
      <c r="E15" s="87">
        <v>1.593109358E9</v>
      </c>
      <c r="F15" s="64">
        <f>IFERROR(__xludf.DUMMYFUNCTION("INDEX(SPLIT(E15, char(10)), 0, 1)/86400+date(1970,1,1)"),44007.76571759259)</f>
        <v>44007.76572</v>
      </c>
      <c r="G15" s="84" t="s">
        <v>614</v>
      </c>
      <c r="H15" s="84" t="s">
        <v>615</v>
      </c>
      <c r="I15" s="39" t="s">
        <v>16</v>
      </c>
    </row>
    <row r="16">
      <c r="A16" s="5" t="s">
        <v>7</v>
      </c>
      <c r="B16" s="5" t="s">
        <v>137</v>
      </c>
      <c r="C16" s="73">
        <f t="shared" si="5"/>
        <v>4</v>
      </c>
      <c r="D16" s="74">
        <f>IFERROR(__xludf.DUMMYFUNCTION("IF(C16, COUNTIF(FILTER($D$19:$D1000, $A$19:$A1000=A16), TRUE)/C16, 0)"),0.75)</f>
        <v>0.75</v>
      </c>
      <c r="E16" s="87">
        <v>1.593110306E9</v>
      </c>
      <c r="F16" s="64">
        <f>IFERROR(__xludf.DUMMYFUNCTION("INDEX(SPLIT(E16, char(10)), 0, 1)/86400+date(1970,1,1)"),44007.77668981481)</f>
        <v>44007.77669</v>
      </c>
      <c r="G16" s="84" t="s">
        <v>616</v>
      </c>
      <c r="H16" s="84" t="s">
        <v>617</v>
      </c>
      <c r="I16" s="39" t="s">
        <v>17</v>
      </c>
    </row>
    <row r="17">
      <c r="A17" s="5" t="s">
        <v>8</v>
      </c>
      <c r="B17" s="5" t="s">
        <v>79</v>
      </c>
      <c r="C17" s="73">
        <f t="shared" si="5"/>
        <v>8</v>
      </c>
      <c r="D17" s="74">
        <f>IFERROR(__xludf.DUMMYFUNCTION("IF(C17, COUNTIF(FILTER($D$19:$D1000, $A$19:$A1000=A17), TRUE)/C17, 0)"),0.25)</f>
        <v>0.25</v>
      </c>
      <c r="E17" s="87">
        <v>1.593110731E9</v>
      </c>
      <c r="F17" s="64">
        <f>IFERROR(__xludf.DUMMYFUNCTION("INDEX(SPLIT(E17, char(10)), 0, 1)/86400+date(1970,1,1)"),44007.7816087963)</f>
        <v>44007.78161</v>
      </c>
      <c r="G17" s="84" t="s">
        <v>618</v>
      </c>
      <c r="H17" s="84" t="s">
        <v>619</v>
      </c>
      <c r="I17" s="39" t="s">
        <v>16</v>
      </c>
    </row>
    <row r="18">
      <c r="A18" s="72"/>
      <c r="B18" s="70" t="s">
        <v>9</v>
      </c>
      <c r="C18" s="73">
        <f>SUM(C14:C17)</f>
        <v>18</v>
      </c>
      <c r="D18" s="74">
        <f>COUNTIF($D$19:$D1000, TRUE)/SUM($C$14:$C$17)</f>
        <v>0.5555555556</v>
      </c>
      <c r="E18" s="87">
        <v>1.593110821E9</v>
      </c>
      <c r="F18" s="64">
        <f>IFERROR(__xludf.DUMMYFUNCTION("INDEX(SPLIT(E18, char(10)), 0, 1)/86400+date(1970,1,1)"),44007.78265046296)</f>
        <v>44007.78265</v>
      </c>
      <c r="G18" s="84" t="s">
        <v>620</v>
      </c>
      <c r="H18" s="84" t="s">
        <v>621</v>
      </c>
      <c r="I18" s="39" t="s">
        <v>17</v>
      </c>
    </row>
    <row r="19">
      <c r="A19" s="75" t="s">
        <v>7</v>
      </c>
      <c r="B19" s="75" t="s">
        <v>149</v>
      </c>
      <c r="C19" s="76">
        <v>1.0</v>
      </c>
      <c r="D19" s="78" t="b">
        <v>0</v>
      </c>
      <c r="E19" s="87">
        <v>1.593110945E9</v>
      </c>
      <c r="F19" s="64">
        <f>IFERROR(__xludf.DUMMYFUNCTION("INDEX(SPLIT(E19, char(10)), 0, 1)/86400+date(1970,1,1)"),44007.78408564815)</f>
        <v>44007.78409</v>
      </c>
      <c r="G19" s="84" t="s">
        <v>622</v>
      </c>
      <c r="H19" s="84" t="s">
        <v>623</v>
      </c>
      <c r="I19" s="39" t="s">
        <v>14</v>
      </c>
    </row>
    <row r="20">
      <c r="A20" s="75" t="s">
        <v>130</v>
      </c>
      <c r="B20" s="75" t="s">
        <v>544</v>
      </c>
      <c r="C20" s="76">
        <v>8.0</v>
      </c>
      <c r="D20" s="78" t="b">
        <v>1</v>
      </c>
      <c r="E20" s="87">
        <v>1.593111105E9</v>
      </c>
      <c r="F20" s="64">
        <f>IFERROR(__xludf.DUMMYFUNCTION("INDEX(SPLIT(E20, char(10)), 0, 1)/86400+date(1970,1,1)"),44007.7859375)</f>
        <v>44007.78594</v>
      </c>
      <c r="G20" s="84" t="s">
        <v>624</v>
      </c>
      <c r="H20" s="84" t="s">
        <v>625</v>
      </c>
      <c r="I20" s="39" t="s">
        <v>16</v>
      </c>
    </row>
    <row r="21">
      <c r="A21" s="75" t="s">
        <v>6</v>
      </c>
      <c r="B21" s="75" t="s">
        <v>547</v>
      </c>
      <c r="C21" s="76">
        <v>11.0</v>
      </c>
      <c r="D21" s="78" t="b">
        <v>1</v>
      </c>
      <c r="E21" s="87">
        <v>1.593111335E9</v>
      </c>
      <c r="F21" s="64">
        <f>IFERROR(__xludf.DUMMYFUNCTION("INDEX(SPLIT(E21, char(10)), 0, 1)/86400+date(1970,1,1)"),44007.78859953704)</f>
        <v>44007.7886</v>
      </c>
      <c r="G21" s="84" t="s">
        <v>626</v>
      </c>
      <c r="H21" s="84" t="s">
        <v>627</v>
      </c>
      <c r="I21" s="39" t="s">
        <v>17</v>
      </c>
    </row>
    <row r="22">
      <c r="A22" s="75" t="s">
        <v>130</v>
      </c>
      <c r="B22" s="75" t="s">
        <v>550</v>
      </c>
      <c r="C22" s="76">
        <v>20.0</v>
      </c>
      <c r="D22" s="78" t="b">
        <v>1</v>
      </c>
      <c r="F22" s="64"/>
      <c r="G22" s="84"/>
      <c r="H22" s="84"/>
      <c r="I22" s="40"/>
    </row>
    <row r="23">
      <c r="A23" s="75" t="s">
        <v>7</v>
      </c>
      <c r="B23" s="75" t="s">
        <v>155</v>
      </c>
      <c r="C23" s="76">
        <v>45.0</v>
      </c>
      <c r="D23" s="78" t="b">
        <v>1</v>
      </c>
      <c r="F23" s="64"/>
      <c r="G23" s="84"/>
      <c r="H23" s="84"/>
      <c r="I23" s="40"/>
    </row>
    <row r="24">
      <c r="A24" s="5" t="s">
        <v>7</v>
      </c>
      <c r="B24" s="5" t="s">
        <v>158</v>
      </c>
      <c r="C24" s="76">
        <v>45.0</v>
      </c>
      <c r="D24" s="78" t="b">
        <v>1</v>
      </c>
      <c r="F24" s="64"/>
      <c r="G24" s="84"/>
      <c r="H24" s="84"/>
      <c r="I24" s="40"/>
    </row>
    <row r="25">
      <c r="A25" s="75" t="s">
        <v>8</v>
      </c>
      <c r="B25" s="72" t="s">
        <v>557</v>
      </c>
      <c r="C25" s="76">
        <v>46.0</v>
      </c>
      <c r="D25" s="78" t="b">
        <v>1</v>
      </c>
      <c r="F25" s="64"/>
      <c r="G25" s="84"/>
      <c r="H25" s="84"/>
      <c r="I25" s="40"/>
    </row>
    <row r="26">
      <c r="A26" s="75" t="s">
        <v>8</v>
      </c>
      <c r="B26" s="72" t="s">
        <v>559</v>
      </c>
      <c r="C26" s="76">
        <v>46.0</v>
      </c>
      <c r="D26" s="78" t="b">
        <v>0</v>
      </c>
      <c r="F26" s="64"/>
      <c r="G26" s="84"/>
      <c r="H26" s="84"/>
      <c r="I26" s="40"/>
    </row>
    <row r="27">
      <c r="A27" s="75" t="s">
        <v>6</v>
      </c>
      <c r="B27" s="72" t="s">
        <v>562</v>
      </c>
      <c r="C27" s="76">
        <v>47.0</v>
      </c>
      <c r="D27" s="78" t="b">
        <v>0</v>
      </c>
      <c r="F27" s="64"/>
      <c r="G27" s="84"/>
      <c r="H27" s="84"/>
      <c r="I27" s="40"/>
    </row>
    <row r="28">
      <c r="A28" s="75" t="s">
        <v>8</v>
      </c>
      <c r="B28" s="72" t="s">
        <v>565</v>
      </c>
      <c r="C28" s="76">
        <v>64.0</v>
      </c>
      <c r="D28" s="78" t="b">
        <v>1</v>
      </c>
      <c r="F28" s="64"/>
      <c r="G28" s="84"/>
      <c r="H28" s="84"/>
      <c r="I28" s="40"/>
    </row>
    <row r="29">
      <c r="A29" s="75" t="s">
        <v>8</v>
      </c>
      <c r="B29" s="72" t="s">
        <v>568</v>
      </c>
      <c r="C29" s="76">
        <v>70.0</v>
      </c>
      <c r="D29" s="78" t="b">
        <v>0</v>
      </c>
      <c r="F29" s="64"/>
      <c r="G29" s="84"/>
      <c r="H29" s="84"/>
      <c r="I29" s="40"/>
    </row>
    <row r="30">
      <c r="A30" s="75" t="s">
        <v>8</v>
      </c>
      <c r="B30" s="72" t="s">
        <v>571</v>
      </c>
      <c r="C30" s="76">
        <v>79.0</v>
      </c>
      <c r="D30" s="78" t="b">
        <v>0</v>
      </c>
      <c r="F30" s="64"/>
      <c r="G30" s="84"/>
      <c r="H30" s="84"/>
      <c r="I30" s="40"/>
    </row>
    <row r="31">
      <c r="A31" s="75" t="s">
        <v>8</v>
      </c>
      <c r="B31" s="72" t="s">
        <v>574</v>
      </c>
      <c r="C31" s="76">
        <v>80.0</v>
      </c>
      <c r="D31" s="78" t="b">
        <v>0</v>
      </c>
      <c r="F31" s="64"/>
      <c r="G31" s="84"/>
      <c r="H31" s="84"/>
      <c r="I31" s="40"/>
    </row>
    <row r="32">
      <c r="A32" s="75" t="s">
        <v>6</v>
      </c>
      <c r="B32" s="72" t="s">
        <v>577</v>
      </c>
      <c r="C32" s="76">
        <v>85.0</v>
      </c>
      <c r="D32" s="78" t="b">
        <v>1</v>
      </c>
      <c r="F32" s="64"/>
      <c r="G32" s="84"/>
      <c r="H32" s="84"/>
      <c r="I32" s="40"/>
    </row>
    <row r="33">
      <c r="A33" s="75" t="s">
        <v>130</v>
      </c>
      <c r="B33" s="72" t="s">
        <v>580</v>
      </c>
      <c r="C33" s="76">
        <v>86.0</v>
      </c>
      <c r="D33" s="78" t="b">
        <v>1</v>
      </c>
      <c r="F33" s="64"/>
      <c r="G33" s="84"/>
      <c r="H33" s="84"/>
      <c r="I33" s="40"/>
    </row>
    <row r="34">
      <c r="A34" s="75" t="s">
        <v>8</v>
      </c>
      <c r="B34" s="72" t="s">
        <v>583</v>
      </c>
      <c r="C34" s="76">
        <v>90.0</v>
      </c>
      <c r="D34" s="78" t="b">
        <v>0</v>
      </c>
      <c r="F34" s="64"/>
      <c r="G34" s="84"/>
      <c r="H34" s="84"/>
      <c r="I34" s="40"/>
    </row>
    <row r="35">
      <c r="A35" s="75" t="s">
        <v>8</v>
      </c>
      <c r="B35" s="72" t="s">
        <v>586</v>
      </c>
      <c r="C35" s="76">
        <v>90.0</v>
      </c>
      <c r="D35" s="78" t="b">
        <v>0</v>
      </c>
      <c r="F35" s="64"/>
      <c r="G35" s="84"/>
      <c r="H35" s="84"/>
      <c r="I35" s="40"/>
    </row>
    <row r="36">
      <c r="A36" s="75" t="s">
        <v>7</v>
      </c>
      <c r="B36" s="72" t="s">
        <v>183</v>
      </c>
      <c r="C36" s="76">
        <v>90.0</v>
      </c>
      <c r="D36" s="78" t="b">
        <v>1</v>
      </c>
      <c r="F36" s="64"/>
      <c r="G36" s="84"/>
      <c r="H36" s="84"/>
      <c r="I36" s="40"/>
    </row>
    <row r="37">
      <c r="A37" s="75"/>
      <c r="B37" s="72"/>
      <c r="C37" s="76"/>
      <c r="D37" s="77"/>
      <c r="E37" s="82"/>
      <c r="F37" s="64"/>
      <c r="G37" s="81"/>
      <c r="H37" s="81"/>
      <c r="I37" s="40"/>
    </row>
    <row r="38">
      <c r="A38" s="75"/>
      <c r="B38" s="72"/>
      <c r="C38" s="76"/>
      <c r="D38" s="77"/>
      <c r="E38" s="82"/>
      <c r="F38" s="64"/>
      <c r="G38" s="81"/>
      <c r="H38" s="81"/>
      <c r="I38" s="40"/>
    </row>
    <row r="39">
      <c r="A39" s="75"/>
      <c r="B39" s="72"/>
      <c r="C39" s="76"/>
      <c r="D39" s="77"/>
      <c r="E39" s="82"/>
      <c r="F39" s="64"/>
      <c r="G39" s="81"/>
      <c r="H39" s="81"/>
      <c r="I39" s="40"/>
    </row>
    <row r="40">
      <c r="A40" s="75"/>
      <c r="B40" s="72"/>
      <c r="C40" s="76"/>
      <c r="D40" s="77"/>
      <c r="E40" s="82"/>
      <c r="F40" s="64"/>
      <c r="G40" s="81"/>
      <c r="H40" s="84"/>
      <c r="I40" s="40"/>
    </row>
    <row r="41">
      <c r="A41" s="75"/>
      <c r="B41" s="72"/>
      <c r="C41" s="76"/>
      <c r="D41" s="77"/>
      <c r="E41" s="82"/>
      <c r="F41" s="64"/>
      <c r="G41" s="81"/>
      <c r="H41" s="81"/>
      <c r="I41" s="40"/>
    </row>
    <row r="42">
      <c r="A42" s="75"/>
      <c r="B42" s="72"/>
      <c r="C42" s="76"/>
      <c r="D42" s="78"/>
      <c r="E42" s="82"/>
      <c r="F42" s="64"/>
      <c r="G42" s="81"/>
      <c r="H42" s="81"/>
      <c r="I42" s="40"/>
    </row>
    <row r="43">
      <c r="A43" s="69"/>
      <c r="B43" s="69"/>
      <c r="C43" s="69"/>
      <c r="D43" s="69"/>
      <c r="E43" s="82"/>
      <c r="F43" s="64"/>
      <c r="G43" s="81"/>
      <c r="H43" s="84"/>
      <c r="I43" s="40"/>
    </row>
    <row r="44">
      <c r="D44" s="69"/>
      <c r="E44" s="82"/>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24 H27:H48 H50:H115">
    <cfRule type="expression" dxfId="0" priority="1">
      <formula>I2="Topic"</formula>
    </cfRule>
  </conditionalFormatting>
  <conditionalFormatting sqref="H2:H24 H27: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0</v>
      </c>
      <c r="D2" s="62">
        <f t="shared" ref="D2:D6" si="2">C2/COUNTA(I$2:I1000)</f>
        <v>0</v>
      </c>
      <c r="E2" s="87">
        <v>1.593104932E9</v>
      </c>
      <c r="F2" s="64">
        <f>IFERROR(__xludf.DUMMYFUNCTION("INDEX(SPLIT(E2, char(10)), 0, 1)/86400+date(1970,1,1)"),44007.71449074074)</f>
        <v>44007.71449</v>
      </c>
      <c r="G2" s="84" t="s">
        <v>628</v>
      </c>
      <c r="H2" s="84" t="s">
        <v>629</v>
      </c>
      <c r="I2" s="39" t="s">
        <v>16</v>
      </c>
      <c r="J2" s="39"/>
    </row>
    <row r="3">
      <c r="A3" s="39" t="s">
        <v>14</v>
      </c>
      <c r="B3" s="39" t="s">
        <v>101</v>
      </c>
      <c r="C3" s="39">
        <f t="shared" si="1"/>
        <v>2</v>
      </c>
      <c r="D3" s="62">
        <f t="shared" si="2"/>
        <v>0.0625</v>
      </c>
      <c r="E3" s="87">
        <v>1.593105059E9</v>
      </c>
      <c r="F3" s="64">
        <f>IFERROR(__xludf.DUMMYFUNCTION("INDEX(SPLIT(E3, char(10)), 0, 1)/86400+date(1970,1,1)"),44007.715960648144)</f>
        <v>44007.71596</v>
      </c>
      <c r="G3" s="84" t="s">
        <v>630</v>
      </c>
      <c r="H3" s="84" t="s">
        <v>631</v>
      </c>
      <c r="I3" s="39" t="s">
        <v>16</v>
      </c>
      <c r="J3" s="39"/>
    </row>
    <row r="4">
      <c r="A4" s="39" t="s">
        <v>15</v>
      </c>
      <c r="B4" s="39" t="s">
        <v>104</v>
      </c>
      <c r="C4" s="39">
        <f t="shared" si="1"/>
        <v>6</v>
      </c>
      <c r="D4" s="62">
        <f t="shared" si="2"/>
        <v>0.1875</v>
      </c>
      <c r="E4" s="87">
        <v>1.59310516E9</v>
      </c>
      <c r="F4" s="64">
        <f>IFERROR(__xludf.DUMMYFUNCTION("INDEX(SPLIT(E4, char(10)), 0, 1)/86400+date(1970,1,1)"),44007.71712962963)</f>
        <v>44007.71713</v>
      </c>
      <c r="G4" s="84" t="s">
        <v>632</v>
      </c>
      <c r="H4" s="84" t="s">
        <v>633</v>
      </c>
      <c r="I4" s="39" t="s">
        <v>15</v>
      </c>
      <c r="J4" s="39"/>
    </row>
    <row r="5">
      <c r="A5" s="39" t="s">
        <v>16</v>
      </c>
      <c r="B5" s="39" t="s">
        <v>107</v>
      </c>
      <c r="C5" s="39">
        <f t="shared" si="1"/>
        <v>11</v>
      </c>
      <c r="D5" s="62">
        <f t="shared" si="2"/>
        <v>0.34375</v>
      </c>
      <c r="E5" s="87">
        <v>1.59310533E9</v>
      </c>
      <c r="F5" s="64">
        <f>IFERROR(__xludf.DUMMYFUNCTION("INDEX(SPLIT(E5, char(10)), 0, 1)/86400+date(1970,1,1)"),44007.71909722222)</f>
        <v>44007.7191</v>
      </c>
      <c r="G5" s="84" t="s">
        <v>634</v>
      </c>
      <c r="H5" s="84" t="s">
        <v>635</v>
      </c>
      <c r="I5" s="39" t="s">
        <v>17</v>
      </c>
      <c r="J5" s="39"/>
    </row>
    <row r="6">
      <c r="A6" s="39" t="s">
        <v>17</v>
      </c>
      <c r="B6" s="39" t="s">
        <v>110</v>
      </c>
      <c r="C6" s="39">
        <f t="shared" si="1"/>
        <v>13</v>
      </c>
      <c r="D6" s="62">
        <f t="shared" si="2"/>
        <v>0.40625</v>
      </c>
      <c r="E6" s="87">
        <v>1.593105535E9</v>
      </c>
      <c r="F6" s="64">
        <f>IFERROR(__xludf.DUMMYFUNCTION("INDEX(SPLIT(E6, char(10)), 0, 1)/86400+date(1970,1,1)"),44007.72146990741)</f>
        <v>44007.72147</v>
      </c>
      <c r="G6" s="84" t="s">
        <v>636</v>
      </c>
      <c r="H6" s="84" t="s">
        <v>637</v>
      </c>
      <c r="I6" s="39" t="s">
        <v>17</v>
      </c>
    </row>
    <row r="7">
      <c r="B7" s="39" t="s">
        <v>13</v>
      </c>
      <c r="C7" s="67">
        <f t="shared" ref="C7:D7" si="3">SUM(C2:C6)</f>
        <v>32</v>
      </c>
      <c r="D7" s="68">
        <f t="shared" si="3"/>
        <v>1</v>
      </c>
      <c r="E7" s="87">
        <v>1.593105643E9</v>
      </c>
      <c r="F7" s="64">
        <f>IFERROR(__xludf.DUMMYFUNCTION("INDEX(SPLIT(E7, char(10)), 0, 1)/86400+date(1970,1,1)"),44007.72271990741)</f>
        <v>44007.72272</v>
      </c>
      <c r="G7" s="84" t="s">
        <v>638</v>
      </c>
      <c r="H7" s="84" t="s">
        <v>639</v>
      </c>
      <c r="I7" s="39" t="s">
        <v>16</v>
      </c>
    </row>
    <row r="8">
      <c r="A8" s="69"/>
      <c r="B8" s="39" t="s">
        <v>18</v>
      </c>
      <c r="C8" s="55">
        <f t="shared" ref="C8:D8" si="4">SUM(C5:C6)</f>
        <v>24</v>
      </c>
      <c r="D8" s="13">
        <f t="shared" si="4"/>
        <v>0.75</v>
      </c>
      <c r="E8" s="87">
        <v>1.593105887E9</v>
      </c>
      <c r="F8" s="64">
        <f>IFERROR(__xludf.DUMMYFUNCTION("INDEX(SPLIT(E8, char(10)), 0, 1)/86400+date(1970,1,1)"),44007.725543981476)</f>
        <v>44007.72554</v>
      </c>
      <c r="G8" s="84" t="s">
        <v>640</v>
      </c>
      <c r="H8" s="84" t="s">
        <v>641</v>
      </c>
      <c r="I8" s="39" t="s">
        <v>15</v>
      </c>
    </row>
    <row r="9">
      <c r="A9" s="69"/>
      <c r="B9" s="39" t="s">
        <v>47</v>
      </c>
      <c r="C9" s="55">
        <f>SUM(C6:C7)</f>
        <v>45</v>
      </c>
      <c r="D9" s="13">
        <f>SUM(D5:D6) + D2</f>
        <v>0.75</v>
      </c>
      <c r="E9" s="87">
        <v>1.593105998E9</v>
      </c>
      <c r="F9" s="64">
        <f>IFERROR(__xludf.DUMMYFUNCTION("INDEX(SPLIT(E9, char(10)), 0, 1)/86400+date(1970,1,1)"),44007.7268287037)</f>
        <v>44007.72683</v>
      </c>
      <c r="G9" s="84" t="s">
        <v>642</v>
      </c>
      <c r="H9" s="84" t="s">
        <v>643</v>
      </c>
      <c r="I9" s="39" t="s">
        <v>17</v>
      </c>
    </row>
    <row r="10">
      <c r="A10" s="69"/>
      <c r="B10" s="69"/>
      <c r="C10" s="69"/>
      <c r="D10" s="69"/>
      <c r="E10" s="87">
        <v>1.593106091E9</v>
      </c>
      <c r="F10" s="64">
        <f>IFERROR(__xludf.DUMMYFUNCTION("INDEX(SPLIT(E10, char(10)), 0, 1)/86400+date(1970,1,1)"),44007.72790509259)</f>
        <v>44007.72791</v>
      </c>
      <c r="G10" s="84" t="s">
        <v>612</v>
      </c>
      <c r="H10" s="84" t="s">
        <v>644</v>
      </c>
      <c r="I10" s="39" t="s">
        <v>17</v>
      </c>
    </row>
    <row r="11">
      <c r="A11" s="69"/>
      <c r="B11" s="69"/>
      <c r="C11" s="69"/>
      <c r="D11" s="69"/>
      <c r="E11" s="87">
        <v>1.593106248E9</v>
      </c>
      <c r="F11" s="64">
        <f>IFERROR(__xludf.DUMMYFUNCTION("INDEX(SPLIT(E11, char(10)), 0, 1)/86400+date(1970,1,1)"),44007.729722222226)</f>
        <v>44007.72972</v>
      </c>
      <c r="G11" s="84" t="s">
        <v>645</v>
      </c>
      <c r="H11" s="84" t="s">
        <v>646</v>
      </c>
      <c r="I11" s="39" t="s">
        <v>15</v>
      </c>
    </row>
    <row r="12">
      <c r="A12" s="70" t="s">
        <v>123</v>
      </c>
      <c r="B12" s="71" t="s">
        <v>647</v>
      </c>
      <c r="C12" s="72"/>
      <c r="D12" s="72"/>
      <c r="E12" s="87">
        <v>1.593106507E9</v>
      </c>
      <c r="F12" s="64">
        <f>IFERROR(__xludf.DUMMYFUNCTION("INDEX(SPLIT(E12, char(10)), 0, 1)/86400+date(1970,1,1)"),44007.732719907406)</f>
        <v>44007.73272</v>
      </c>
      <c r="G12" s="84" t="s">
        <v>648</v>
      </c>
      <c r="H12" s="84" t="s">
        <v>649</v>
      </c>
      <c r="I12" s="39" t="s">
        <v>15</v>
      </c>
    </row>
    <row r="13">
      <c r="A13" s="70" t="s">
        <v>127</v>
      </c>
      <c r="B13" s="72"/>
      <c r="C13" s="70" t="s">
        <v>91</v>
      </c>
      <c r="D13" s="70" t="s">
        <v>92</v>
      </c>
      <c r="E13" s="87">
        <v>1.593106826E9</v>
      </c>
      <c r="F13" s="64">
        <f>IFERROR(__xludf.DUMMYFUNCTION("INDEX(SPLIT(E13, char(10)), 0, 1)/86400+date(1970,1,1)"),44007.73641203703)</f>
        <v>44007.73641</v>
      </c>
      <c r="G13" s="84" t="s">
        <v>650</v>
      </c>
      <c r="H13" s="84" t="s">
        <v>651</v>
      </c>
      <c r="I13" s="39" t="s">
        <v>15</v>
      </c>
    </row>
    <row r="14">
      <c r="A14" s="5" t="s">
        <v>130</v>
      </c>
      <c r="B14" s="5" t="s">
        <v>131</v>
      </c>
      <c r="C14" s="73">
        <f t="shared" ref="C14:C17" si="5">COUNTIF($A$19:$A1000, A14)</f>
        <v>3</v>
      </c>
      <c r="D14" s="74">
        <f>IFERROR(__xludf.DUMMYFUNCTION("IF(C14, COUNTIF(FILTER($D$19:$D1000, $A$19:$A1000=A14), TRUE)/C14, 0)"),1.0)</f>
        <v>1</v>
      </c>
      <c r="E14" s="87">
        <v>1.593107122E9</v>
      </c>
      <c r="F14" s="64">
        <f>IFERROR(__xludf.DUMMYFUNCTION("INDEX(SPLIT(E14, char(10)), 0, 1)/86400+date(1970,1,1)"),44007.73983796296)</f>
        <v>44007.73984</v>
      </c>
      <c r="G14" s="84" t="s">
        <v>448</v>
      </c>
      <c r="H14" s="84" t="s">
        <v>652</v>
      </c>
      <c r="I14" s="39" t="s">
        <v>16</v>
      </c>
    </row>
    <row r="15">
      <c r="A15" s="5" t="s">
        <v>6</v>
      </c>
      <c r="B15" s="5" t="s">
        <v>134</v>
      </c>
      <c r="C15" s="73">
        <f t="shared" si="5"/>
        <v>3</v>
      </c>
      <c r="D15" s="74">
        <f>IFERROR(__xludf.DUMMYFUNCTION("IF(C15, COUNTIF(FILTER($D$19:$D1000, $A$19:$A1000=A15), TRUE)/C15, 0)"),1.0)</f>
        <v>1</v>
      </c>
      <c r="E15" s="87">
        <v>1.593107289E9</v>
      </c>
      <c r="F15" s="64">
        <f>IFERROR(__xludf.DUMMYFUNCTION("INDEX(SPLIT(E15, char(10)), 0, 1)/86400+date(1970,1,1)"),44007.74177083334)</f>
        <v>44007.74177</v>
      </c>
      <c r="G15" s="84" t="s">
        <v>653</v>
      </c>
      <c r="H15" s="84" t="s">
        <v>654</v>
      </c>
      <c r="I15" s="39" t="s">
        <v>17</v>
      </c>
    </row>
    <row r="16">
      <c r="A16" s="5" t="s">
        <v>7</v>
      </c>
      <c r="B16" s="5" t="s">
        <v>137</v>
      </c>
      <c r="C16" s="73">
        <f t="shared" si="5"/>
        <v>4</v>
      </c>
      <c r="D16" s="74">
        <f>IFERROR(__xludf.DUMMYFUNCTION("IF(C16, COUNTIF(FILTER($D$19:$D1000, $A$19:$A1000=A16), TRUE)/C16, 0)"),0.75)</f>
        <v>0.75</v>
      </c>
      <c r="E16" s="87">
        <v>1.593107489E9</v>
      </c>
      <c r="F16" s="64">
        <f>IFERROR(__xludf.DUMMYFUNCTION("INDEX(SPLIT(E16, char(10)), 0, 1)/86400+date(1970,1,1)"),44007.74408564815)</f>
        <v>44007.74409</v>
      </c>
      <c r="G16" s="84" t="s">
        <v>655</v>
      </c>
      <c r="H16" s="84" t="s">
        <v>656</v>
      </c>
      <c r="I16" s="39" t="s">
        <v>17</v>
      </c>
    </row>
    <row r="17">
      <c r="A17" s="5" t="s">
        <v>8</v>
      </c>
      <c r="B17" s="5" t="s">
        <v>79</v>
      </c>
      <c r="C17" s="73">
        <f t="shared" si="5"/>
        <v>8</v>
      </c>
      <c r="D17" s="74">
        <f>IFERROR(__xludf.DUMMYFUNCTION("IF(C17, COUNTIF(FILTER($D$19:$D1000, $A$19:$A1000=A17), TRUE)/C17, 0)"),0.375)</f>
        <v>0.375</v>
      </c>
      <c r="E17" s="87">
        <v>1.593107662E9</v>
      </c>
      <c r="F17" s="64">
        <f>IFERROR(__xludf.DUMMYFUNCTION("INDEX(SPLIT(E17, char(10)), 0, 1)/86400+date(1970,1,1)"),44007.746087962965)</f>
        <v>44007.74609</v>
      </c>
      <c r="G17" s="84" t="s">
        <v>657</v>
      </c>
      <c r="H17" s="84" t="s">
        <v>658</v>
      </c>
      <c r="I17" s="39" t="s">
        <v>15</v>
      </c>
    </row>
    <row r="18">
      <c r="A18" s="72"/>
      <c r="B18" s="70" t="s">
        <v>9</v>
      </c>
      <c r="C18" s="73">
        <f>SUM(C14:C17)</f>
        <v>18</v>
      </c>
      <c r="D18" s="74">
        <f>COUNTIF($D$19:$D1000, TRUE)/SUM($C$14:$C$17)</f>
        <v>0.6666666667</v>
      </c>
      <c r="E18" s="87">
        <v>1.593108286E9</v>
      </c>
      <c r="F18" s="64">
        <f>IFERROR(__xludf.DUMMYFUNCTION("INDEX(SPLIT(E18, char(10)), 0, 1)/86400+date(1970,1,1)"),44007.75331018519)</f>
        <v>44007.75331</v>
      </c>
      <c r="G18" s="84" t="s">
        <v>659</v>
      </c>
      <c r="H18" s="84" t="s">
        <v>660</v>
      </c>
      <c r="I18" s="39" t="s">
        <v>16</v>
      </c>
    </row>
    <row r="19">
      <c r="A19" s="75" t="s">
        <v>7</v>
      </c>
      <c r="B19" s="75" t="s">
        <v>149</v>
      </c>
      <c r="C19" s="76">
        <v>1.0</v>
      </c>
      <c r="D19" s="78" t="b">
        <v>0</v>
      </c>
      <c r="E19" s="87">
        <v>1.593108434E9</v>
      </c>
      <c r="F19" s="64">
        <f>IFERROR(__xludf.DUMMYFUNCTION("INDEX(SPLIT(E19, char(10)), 0, 1)/86400+date(1970,1,1)"),44007.755023148144)</f>
        <v>44007.75502</v>
      </c>
      <c r="G19" s="84" t="s">
        <v>661</v>
      </c>
      <c r="H19" s="84" t="s">
        <v>662</v>
      </c>
      <c r="I19" s="39" t="s">
        <v>16</v>
      </c>
    </row>
    <row r="20">
      <c r="A20" s="75" t="s">
        <v>130</v>
      </c>
      <c r="B20" s="75" t="s">
        <v>544</v>
      </c>
      <c r="C20" s="76">
        <v>8.0</v>
      </c>
      <c r="D20" s="78" t="b">
        <v>1</v>
      </c>
      <c r="E20" s="87">
        <v>1.593108844E9</v>
      </c>
      <c r="F20" s="64">
        <f>IFERROR(__xludf.DUMMYFUNCTION("INDEX(SPLIT(E20, char(10)), 0, 1)/86400+date(1970,1,1)"),44007.75976851852)</f>
        <v>44007.75977</v>
      </c>
      <c r="G20" s="84" t="s">
        <v>663</v>
      </c>
      <c r="H20" s="84" t="s">
        <v>664</v>
      </c>
      <c r="I20" s="39" t="s">
        <v>17</v>
      </c>
    </row>
    <row r="21">
      <c r="A21" s="75" t="s">
        <v>6</v>
      </c>
      <c r="B21" s="75" t="s">
        <v>547</v>
      </c>
      <c r="C21" s="76">
        <v>11.0</v>
      </c>
      <c r="D21" s="78" t="b">
        <v>1</v>
      </c>
      <c r="E21" s="87">
        <v>1.593109062E9</v>
      </c>
      <c r="F21" s="64">
        <f>IFERROR(__xludf.DUMMYFUNCTION("INDEX(SPLIT(E21, char(10)), 0, 1)/86400+date(1970,1,1)"),44007.762291666666)</f>
        <v>44007.76229</v>
      </c>
      <c r="G21" s="84" t="s">
        <v>665</v>
      </c>
      <c r="H21" s="84" t="s">
        <v>666</v>
      </c>
      <c r="I21" s="39" t="s">
        <v>17</v>
      </c>
    </row>
    <row r="22">
      <c r="A22" s="75" t="s">
        <v>130</v>
      </c>
      <c r="B22" s="75" t="s">
        <v>550</v>
      </c>
      <c r="C22" s="76">
        <v>20.0</v>
      </c>
      <c r="D22" s="78" t="b">
        <v>1</v>
      </c>
      <c r="E22" s="87">
        <v>1.593109319E9</v>
      </c>
      <c r="F22" s="64">
        <f>IFERROR(__xludf.DUMMYFUNCTION("INDEX(SPLIT(E22, char(10)), 0, 1)/86400+date(1970,1,1)"),44007.7652662037)</f>
        <v>44007.76527</v>
      </c>
      <c r="G22" s="84" t="s">
        <v>667</v>
      </c>
      <c r="H22" s="84" t="s">
        <v>668</v>
      </c>
      <c r="I22" s="39" t="s">
        <v>16</v>
      </c>
    </row>
    <row r="23">
      <c r="A23" s="75" t="s">
        <v>7</v>
      </c>
      <c r="B23" s="75" t="s">
        <v>155</v>
      </c>
      <c r="C23" s="76">
        <v>45.0</v>
      </c>
      <c r="D23" s="78" t="b">
        <v>1</v>
      </c>
      <c r="E23" s="87">
        <v>1.593109744E9</v>
      </c>
      <c r="F23" s="64">
        <f>IFERROR(__xludf.DUMMYFUNCTION("INDEX(SPLIT(E23, char(10)), 0, 1)/86400+date(1970,1,1)"),44007.77018518519)</f>
        <v>44007.77019</v>
      </c>
      <c r="G23" s="84" t="s">
        <v>669</v>
      </c>
      <c r="H23" s="84" t="s">
        <v>670</v>
      </c>
      <c r="I23" s="39" t="s">
        <v>17</v>
      </c>
    </row>
    <row r="24">
      <c r="A24" s="5" t="s">
        <v>7</v>
      </c>
      <c r="B24" s="5" t="s">
        <v>158</v>
      </c>
      <c r="C24" s="76">
        <v>45.0</v>
      </c>
      <c r="D24" s="78" t="b">
        <v>1</v>
      </c>
      <c r="E24" s="87">
        <v>1.59310989E9</v>
      </c>
      <c r="F24" s="64">
        <f>IFERROR(__xludf.DUMMYFUNCTION("INDEX(SPLIT(E24, char(10)), 0, 1)/86400+date(1970,1,1)"),44007.771875)</f>
        <v>44007.77188</v>
      </c>
      <c r="G24" s="84" t="s">
        <v>671</v>
      </c>
      <c r="H24" s="84" t="s">
        <v>672</v>
      </c>
      <c r="I24" s="39" t="s">
        <v>16</v>
      </c>
    </row>
    <row r="25">
      <c r="A25" s="75" t="s">
        <v>8</v>
      </c>
      <c r="B25" s="72" t="s">
        <v>557</v>
      </c>
      <c r="C25" s="76">
        <v>46.0</v>
      </c>
      <c r="D25" s="78" t="b">
        <v>1</v>
      </c>
      <c r="E25" s="87">
        <v>1.593110027E9</v>
      </c>
      <c r="F25" s="64">
        <f>IFERROR(__xludf.DUMMYFUNCTION("INDEX(SPLIT(E25, char(10)), 0, 1)/86400+date(1970,1,1)"),44007.77346064815)</f>
        <v>44007.77346</v>
      </c>
      <c r="G25" s="84" t="s">
        <v>673</v>
      </c>
      <c r="H25" s="84" t="s">
        <v>674</v>
      </c>
      <c r="I25" s="39" t="s">
        <v>17</v>
      </c>
    </row>
    <row r="26">
      <c r="A26" s="75" t="s">
        <v>8</v>
      </c>
      <c r="B26" s="72" t="s">
        <v>559</v>
      </c>
      <c r="C26" s="76">
        <v>46.0</v>
      </c>
      <c r="D26" s="78" t="b">
        <v>0</v>
      </c>
      <c r="E26" s="87">
        <v>1.593110207E9</v>
      </c>
      <c r="F26" s="64">
        <f>IFERROR(__xludf.DUMMYFUNCTION("INDEX(SPLIT(E26, char(10)), 0, 1)/86400+date(1970,1,1)"),44007.77554398148)</f>
        <v>44007.77554</v>
      </c>
      <c r="G26" s="84" t="s">
        <v>675</v>
      </c>
      <c r="H26" s="84" t="s">
        <v>676</v>
      </c>
      <c r="I26" s="39" t="s">
        <v>17</v>
      </c>
    </row>
    <row r="27">
      <c r="A27" s="75" t="s">
        <v>6</v>
      </c>
      <c r="B27" s="72" t="s">
        <v>562</v>
      </c>
      <c r="C27" s="76">
        <v>47.0</v>
      </c>
      <c r="D27" s="78" t="b">
        <v>1</v>
      </c>
      <c r="E27" s="87">
        <v>1.593110334E9</v>
      </c>
      <c r="F27" s="64">
        <f>IFERROR(__xludf.DUMMYFUNCTION("INDEX(SPLIT(E27, char(10)), 0, 1)/86400+date(1970,1,1)"),44007.77701388889)</f>
        <v>44007.77701</v>
      </c>
      <c r="G27" s="84" t="s">
        <v>677</v>
      </c>
      <c r="H27" s="84" t="s">
        <v>678</v>
      </c>
      <c r="I27" s="39" t="s">
        <v>14</v>
      </c>
    </row>
    <row r="28">
      <c r="A28" s="75" t="s">
        <v>8</v>
      </c>
      <c r="B28" s="72" t="s">
        <v>565</v>
      </c>
      <c r="C28" s="76">
        <v>64.0</v>
      </c>
      <c r="D28" s="78" t="b">
        <v>1</v>
      </c>
      <c r="E28" s="87">
        <v>1.593110529E9</v>
      </c>
      <c r="F28" s="64">
        <f>IFERROR(__xludf.DUMMYFUNCTION("INDEX(SPLIT(E28, char(10)), 0, 1)/86400+date(1970,1,1)"),44007.77927083333)</f>
        <v>44007.77927</v>
      </c>
      <c r="G28" s="84" t="s">
        <v>679</v>
      </c>
      <c r="H28" s="84" t="s">
        <v>680</v>
      </c>
      <c r="I28" s="39" t="s">
        <v>17</v>
      </c>
    </row>
    <row r="29">
      <c r="A29" s="75" t="s">
        <v>8</v>
      </c>
      <c r="B29" s="72" t="s">
        <v>568</v>
      </c>
      <c r="C29" s="76">
        <v>70.0</v>
      </c>
      <c r="D29" s="78" t="b">
        <v>1</v>
      </c>
      <c r="E29" s="87">
        <v>1.593110643E9</v>
      </c>
      <c r="F29" s="64">
        <f>IFERROR(__xludf.DUMMYFUNCTION("INDEX(SPLIT(E29, char(10)), 0, 1)/86400+date(1970,1,1)"),44007.780590277776)</f>
        <v>44007.78059</v>
      </c>
      <c r="G29" s="84" t="s">
        <v>681</v>
      </c>
      <c r="H29" s="84" t="s">
        <v>682</v>
      </c>
      <c r="I29" s="39" t="s">
        <v>16</v>
      </c>
    </row>
    <row r="30">
      <c r="A30" s="75" t="s">
        <v>8</v>
      </c>
      <c r="B30" s="72" t="s">
        <v>571</v>
      </c>
      <c r="C30" s="76">
        <v>79.0</v>
      </c>
      <c r="D30" s="78" t="b">
        <v>0</v>
      </c>
      <c r="E30" s="87">
        <v>1.593110747E9</v>
      </c>
      <c r="F30" s="64">
        <f>IFERROR(__xludf.DUMMYFUNCTION("INDEX(SPLIT(E30, char(10)), 0, 1)/86400+date(1970,1,1)"),44007.781793981485)</f>
        <v>44007.78179</v>
      </c>
      <c r="G30" s="84" t="s">
        <v>683</v>
      </c>
      <c r="H30" s="84" t="s">
        <v>684</v>
      </c>
      <c r="I30" s="39" t="s">
        <v>16</v>
      </c>
    </row>
    <row r="31">
      <c r="A31" s="75" t="s">
        <v>8</v>
      </c>
      <c r="B31" s="72" t="s">
        <v>574</v>
      </c>
      <c r="C31" s="76">
        <v>80.0</v>
      </c>
      <c r="D31" s="78" t="b">
        <v>0</v>
      </c>
      <c r="E31" s="87">
        <v>1.593110928E9</v>
      </c>
      <c r="F31" s="64">
        <f>IFERROR(__xludf.DUMMYFUNCTION("INDEX(SPLIT(E31, char(10)), 0, 1)/86400+date(1970,1,1)"),44007.78388888889)</f>
        <v>44007.78389</v>
      </c>
      <c r="G31" s="84" t="s">
        <v>685</v>
      </c>
      <c r="H31" s="84" t="s">
        <v>686</v>
      </c>
      <c r="I31" s="39" t="s">
        <v>14</v>
      </c>
    </row>
    <row r="32">
      <c r="A32" s="75" t="s">
        <v>6</v>
      </c>
      <c r="B32" s="72" t="s">
        <v>577</v>
      </c>
      <c r="C32" s="76">
        <v>85.0</v>
      </c>
      <c r="D32" s="78" t="b">
        <v>1</v>
      </c>
      <c r="E32" s="87">
        <v>1.593111342E9</v>
      </c>
      <c r="F32" s="64">
        <f>IFERROR(__xludf.DUMMYFUNCTION("INDEX(SPLIT(E32, char(10)), 0, 1)/86400+date(1970,1,1)"),44007.78868055556)</f>
        <v>44007.78868</v>
      </c>
      <c r="G32" s="84" t="s">
        <v>687</v>
      </c>
      <c r="H32" s="84" t="s">
        <v>688</v>
      </c>
      <c r="I32" s="39" t="s">
        <v>17</v>
      </c>
    </row>
    <row r="33">
      <c r="A33" s="75" t="s">
        <v>130</v>
      </c>
      <c r="B33" s="72" t="s">
        <v>580</v>
      </c>
      <c r="C33" s="76">
        <v>86.0</v>
      </c>
      <c r="D33" s="78" t="b">
        <v>1</v>
      </c>
      <c r="E33" s="87">
        <v>1.593111442E9</v>
      </c>
      <c r="F33" s="64">
        <f>IFERROR(__xludf.DUMMYFUNCTION("INDEX(SPLIT(E33, char(10)), 0, 1)/86400+date(1970,1,1)"),44007.78983796296)</f>
        <v>44007.78984</v>
      </c>
      <c r="G33" s="84" t="s">
        <v>448</v>
      </c>
      <c r="H33" s="84" t="s">
        <v>689</v>
      </c>
      <c r="I33" s="39" t="s">
        <v>16</v>
      </c>
    </row>
    <row r="34">
      <c r="A34" s="75" t="s">
        <v>8</v>
      </c>
      <c r="B34" s="72" t="s">
        <v>583</v>
      </c>
      <c r="C34" s="76">
        <v>90.0</v>
      </c>
      <c r="D34" s="78" t="b">
        <v>0</v>
      </c>
      <c r="F34" s="64"/>
      <c r="G34" s="84"/>
      <c r="H34" s="84"/>
      <c r="I34" s="40"/>
    </row>
    <row r="35">
      <c r="A35" s="75" t="s">
        <v>8</v>
      </c>
      <c r="B35" s="72" t="s">
        <v>586</v>
      </c>
      <c r="C35" s="76">
        <v>90.0</v>
      </c>
      <c r="D35" s="78" t="b">
        <v>0</v>
      </c>
      <c r="F35" s="64"/>
      <c r="G35" s="84"/>
      <c r="H35" s="84"/>
      <c r="I35" s="40"/>
    </row>
    <row r="36">
      <c r="A36" s="75" t="s">
        <v>7</v>
      </c>
      <c r="B36" s="72" t="s">
        <v>183</v>
      </c>
      <c r="C36" s="76">
        <v>90.0</v>
      </c>
      <c r="D36" s="78" t="b">
        <v>1</v>
      </c>
      <c r="F36" s="64"/>
      <c r="G36" s="84"/>
      <c r="H36" s="84"/>
      <c r="I36" s="40"/>
    </row>
    <row r="37">
      <c r="A37" s="75"/>
      <c r="B37" s="72"/>
      <c r="C37" s="76"/>
      <c r="D37" s="77"/>
      <c r="E37" s="82"/>
      <c r="F37" s="64"/>
      <c r="G37" s="81"/>
      <c r="H37" s="81"/>
      <c r="I37" s="40"/>
    </row>
    <row r="38">
      <c r="A38" s="75"/>
      <c r="B38" s="72"/>
      <c r="C38" s="76"/>
      <c r="D38" s="77"/>
      <c r="E38" s="82"/>
      <c r="F38" s="64"/>
      <c r="G38" s="81"/>
      <c r="H38" s="81"/>
      <c r="I38" s="40"/>
    </row>
    <row r="39">
      <c r="A39" s="75"/>
      <c r="B39" s="72"/>
      <c r="C39" s="76"/>
      <c r="D39" s="77"/>
      <c r="E39" s="82"/>
      <c r="F39" s="64"/>
      <c r="G39" s="81"/>
      <c r="H39" s="81"/>
      <c r="I39" s="40"/>
    </row>
    <row r="40">
      <c r="A40" s="75"/>
      <c r="B40" s="72"/>
      <c r="C40" s="76"/>
      <c r="D40" s="77"/>
      <c r="E40" s="82"/>
      <c r="F40" s="64"/>
      <c r="G40" s="81"/>
      <c r="H40" s="84"/>
      <c r="I40" s="40"/>
    </row>
    <row r="41">
      <c r="A41" s="75"/>
      <c r="B41" s="72"/>
      <c r="C41" s="76"/>
      <c r="D41" s="77"/>
      <c r="E41" s="82"/>
      <c r="F41" s="64"/>
      <c r="G41" s="81"/>
      <c r="H41" s="81"/>
      <c r="I41" s="40"/>
    </row>
    <row r="42">
      <c r="A42" s="75"/>
      <c r="B42" s="72"/>
      <c r="C42" s="76"/>
      <c r="D42" s="78"/>
      <c r="E42" s="82"/>
      <c r="F42" s="64"/>
      <c r="G42" s="81"/>
      <c r="H42" s="81"/>
      <c r="I42" s="40"/>
    </row>
    <row r="43">
      <c r="F43" s="64"/>
      <c r="G43" s="81"/>
      <c r="H43" s="84"/>
      <c r="I43" s="40"/>
    </row>
    <row r="44">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4</v>
      </c>
      <c r="D2" s="62">
        <f t="shared" ref="D2:D6" si="2">C2/COUNTA(I$2:I1000)</f>
        <v>0.07547169811</v>
      </c>
      <c r="E2" s="39">
        <v>1.595775615E9</v>
      </c>
      <c r="F2" s="64">
        <f>IFERROR(__xludf.DUMMYFUNCTION("INDEX(SPLIT(E2, char(10)), 0, 1)/86400+date(1970,1,1)"),44038.625173611115)</f>
        <v>44038.62517</v>
      </c>
      <c r="G2" s="84" t="s">
        <v>690</v>
      </c>
      <c r="H2" s="84" t="s">
        <v>691</v>
      </c>
      <c r="I2" s="39" t="s">
        <v>14</v>
      </c>
      <c r="J2" s="39"/>
    </row>
    <row r="3">
      <c r="A3" s="39" t="s">
        <v>14</v>
      </c>
      <c r="B3" s="39" t="s">
        <v>101</v>
      </c>
      <c r="C3" s="39">
        <f t="shared" si="1"/>
        <v>6</v>
      </c>
      <c r="D3" s="62">
        <f t="shared" si="2"/>
        <v>0.1132075472</v>
      </c>
      <c r="E3" s="39">
        <v>1.595775745E9</v>
      </c>
      <c r="F3" s="64">
        <f>IFERROR(__xludf.DUMMYFUNCTION("INDEX(SPLIT(E3, char(10)), 0, 1)/86400+date(1970,1,1)"),44038.62667824074)</f>
        <v>44038.62668</v>
      </c>
      <c r="G3" s="84" t="s">
        <v>692</v>
      </c>
      <c r="H3" s="84" t="s">
        <v>693</v>
      </c>
      <c r="I3" s="39" t="s">
        <v>17</v>
      </c>
      <c r="J3" s="39"/>
    </row>
    <row r="4">
      <c r="A4" s="39" t="s">
        <v>15</v>
      </c>
      <c r="B4" s="39" t="s">
        <v>104</v>
      </c>
      <c r="C4" s="39">
        <f t="shared" si="1"/>
        <v>15</v>
      </c>
      <c r="D4" s="62">
        <f t="shared" si="2"/>
        <v>0.2830188679</v>
      </c>
      <c r="E4" s="39">
        <v>1.595775953E9</v>
      </c>
      <c r="F4" s="64">
        <f>IFERROR(__xludf.DUMMYFUNCTION("INDEX(SPLIT(E4, char(10)), 0, 1)/86400+date(1970,1,1)"),44038.62908564815)</f>
        <v>44038.62909</v>
      </c>
      <c r="G4" s="84" t="s">
        <v>694</v>
      </c>
      <c r="H4" s="84" t="s">
        <v>695</v>
      </c>
      <c r="I4" s="39" t="s">
        <v>15</v>
      </c>
      <c r="J4" s="39"/>
    </row>
    <row r="5">
      <c r="A5" s="39" t="s">
        <v>16</v>
      </c>
      <c r="B5" s="39" t="s">
        <v>107</v>
      </c>
      <c r="C5" s="39">
        <f t="shared" si="1"/>
        <v>8</v>
      </c>
      <c r="D5" s="62">
        <f t="shared" si="2"/>
        <v>0.1509433962</v>
      </c>
      <c r="E5" s="39">
        <v>1.595776058E9</v>
      </c>
      <c r="F5" s="64">
        <f>IFERROR(__xludf.DUMMYFUNCTION("INDEX(SPLIT(E5, char(10)), 0, 1)/86400+date(1970,1,1)"),44038.63030092593)</f>
        <v>44038.6303</v>
      </c>
      <c r="G5" s="84" t="s">
        <v>696</v>
      </c>
      <c r="H5" s="84" t="s">
        <v>697</v>
      </c>
      <c r="I5" s="39" t="s">
        <v>17</v>
      </c>
      <c r="J5" s="39"/>
    </row>
    <row r="6">
      <c r="A6" s="39" t="s">
        <v>17</v>
      </c>
      <c r="B6" s="39" t="s">
        <v>110</v>
      </c>
      <c r="C6" s="39">
        <f t="shared" si="1"/>
        <v>20</v>
      </c>
      <c r="D6" s="62">
        <f t="shared" si="2"/>
        <v>0.3773584906</v>
      </c>
      <c r="E6" s="39">
        <v>1.595776155E9</v>
      </c>
      <c r="F6" s="64">
        <f>IFERROR(__xludf.DUMMYFUNCTION("INDEX(SPLIT(E6, char(10)), 0, 1)/86400+date(1970,1,1)"),44038.63142361111)</f>
        <v>44038.63142</v>
      </c>
      <c r="G6" s="84" t="s">
        <v>698</v>
      </c>
      <c r="H6" s="84" t="s">
        <v>699</v>
      </c>
      <c r="I6" s="39" t="s">
        <v>16</v>
      </c>
    </row>
    <row r="7">
      <c r="B7" s="39" t="s">
        <v>13</v>
      </c>
      <c r="C7" s="67">
        <f t="shared" ref="C7:D7" si="3">SUM(C2:C6)</f>
        <v>53</v>
      </c>
      <c r="D7" s="68">
        <f t="shared" si="3"/>
        <v>1</v>
      </c>
      <c r="E7" s="39">
        <v>1.595776264E9</v>
      </c>
      <c r="F7" s="64">
        <f>IFERROR(__xludf.DUMMYFUNCTION("INDEX(SPLIT(E7, char(10)), 0, 1)/86400+date(1970,1,1)"),44038.632685185185)</f>
        <v>44038.63269</v>
      </c>
      <c r="G7" s="84" t="s">
        <v>700</v>
      </c>
      <c r="H7" s="84" t="s">
        <v>701</v>
      </c>
      <c r="I7" s="39" t="s">
        <v>17</v>
      </c>
    </row>
    <row r="8">
      <c r="A8" s="69"/>
      <c r="B8" s="39" t="s">
        <v>18</v>
      </c>
      <c r="C8" s="55">
        <f t="shared" ref="C8:D8" si="4">SUM(C5:C6)</f>
        <v>28</v>
      </c>
      <c r="D8" s="13">
        <f t="shared" si="4"/>
        <v>0.5283018868</v>
      </c>
      <c r="E8" s="39">
        <v>1.595776472E9</v>
      </c>
      <c r="F8" s="64">
        <f>IFERROR(__xludf.DUMMYFUNCTION("INDEX(SPLIT(E8, char(10)), 0, 1)/86400+date(1970,1,1)"),44038.635092592594)</f>
        <v>44038.63509</v>
      </c>
      <c r="G8" s="84" t="s">
        <v>702</v>
      </c>
      <c r="H8" s="84" t="s">
        <v>703</v>
      </c>
      <c r="I8" s="39" t="s">
        <v>17</v>
      </c>
    </row>
    <row r="9">
      <c r="A9" s="69"/>
      <c r="B9" s="39" t="s">
        <v>47</v>
      </c>
      <c r="C9" s="55">
        <f>SUM(C6:C7)</f>
        <v>73</v>
      </c>
      <c r="D9" s="13">
        <f>SUM(D5:D6) + D2</f>
        <v>0.6037735849</v>
      </c>
      <c r="E9" s="39">
        <v>1.595776565E9</v>
      </c>
      <c r="F9" s="64">
        <f>IFERROR(__xludf.DUMMYFUNCTION("INDEX(SPLIT(E9, char(10)), 0, 1)/86400+date(1970,1,1)"),44038.63616898148)</f>
        <v>44038.63617</v>
      </c>
      <c r="G9" s="84" t="s">
        <v>704</v>
      </c>
      <c r="H9" s="84" t="s">
        <v>705</v>
      </c>
      <c r="I9" s="39" t="s">
        <v>14</v>
      </c>
    </row>
    <row r="10">
      <c r="A10" s="69"/>
      <c r="B10" s="69"/>
      <c r="C10" s="69"/>
      <c r="D10" s="69"/>
      <c r="E10" s="39">
        <v>1.595776809E9</v>
      </c>
      <c r="F10" s="64">
        <f>IFERROR(__xludf.DUMMYFUNCTION("INDEX(SPLIT(E10, char(10)), 0, 1)/86400+date(1970,1,1)"),44038.63899305556)</f>
        <v>44038.63899</v>
      </c>
      <c r="G10" s="84" t="s">
        <v>706</v>
      </c>
      <c r="H10" s="84" t="s">
        <v>707</v>
      </c>
      <c r="I10" s="39" t="s">
        <v>14</v>
      </c>
    </row>
    <row r="11">
      <c r="A11" s="69"/>
      <c r="B11" s="69"/>
      <c r="C11" s="69"/>
      <c r="D11" s="69"/>
      <c r="E11" s="39">
        <v>1.595776905E9</v>
      </c>
      <c r="F11" s="64">
        <f>IFERROR(__xludf.DUMMYFUNCTION("INDEX(SPLIT(E11, char(10)), 0, 1)/86400+date(1970,1,1)"),44038.64010416667)</f>
        <v>44038.6401</v>
      </c>
      <c r="G11" s="84" t="s">
        <v>708</v>
      </c>
      <c r="H11" s="84" t="s">
        <v>709</v>
      </c>
      <c r="I11" s="39" t="s">
        <v>15</v>
      </c>
    </row>
    <row r="12">
      <c r="A12" s="70" t="s">
        <v>123</v>
      </c>
      <c r="B12" s="71" t="s">
        <v>710</v>
      </c>
      <c r="C12" s="72"/>
      <c r="D12" s="72"/>
      <c r="E12" s="39">
        <v>1.595777088E9</v>
      </c>
      <c r="F12" s="64">
        <f>IFERROR(__xludf.DUMMYFUNCTION("INDEX(SPLIT(E12, char(10)), 0, 1)/86400+date(1970,1,1)"),44038.64222222222)</f>
        <v>44038.64222</v>
      </c>
      <c r="G12" s="84" t="s">
        <v>711</v>
      </c>
      <c r="H12" s="84" t="s">
        <v>712</v>
      </c>
      <c r="I12" s="39" t="s">
        <v>17</v>
      </c>
    </row>
    <row r="13">
      <c r="A13" s="70" t="s">
        <v>127</v>
      </c>
      <c r="B13" s="72"/>
      <c r="C13" s="70" t="s">
        <v>91</v>
      </c>
      <c r="D13" s="70" t="s">
        <v>92</v>
      </c>
      <c r="E13" s="39">
        <v>1.595777182E9</v>
      </c>
      <c r="F13" s="64">
        <f>IFERROR(__xludf.DUMMYFUNCTION("INDEX(SPLIT(E13, char(10)), 0, 1)/86400+date(1970,1,1)"),44038.64331018519)</f>
        <v>44038.64331</v>
      </c>
      <c r="G13" s="84" t="s">
        <v>713</v>
      </c>
      <c r="H13" s="84" t="s">
        <v>714</v>
      </c>
      <c r="I13" s="39" t="s">
        <v>14</v>
      </c>
    </row>
    <row r="14">
      <c r="A14" s="5" t="s">
        <v>130</v>
      </c>
      <c r="B14" s="5" t="s">
        <v>131</v>
      </c>
      <c r="C14" s="73">
        <f t="shared" ref="C14:C17" si="5">COUNTIF($A$19:$A1000, A14)</f>
        <v>3</v>
      </c>
      <c r="D14" s="74">
        <f>IFERROR(__xludf.DUMMYFUNCTION("IF(C14, COUNTIF(FILTER($D$19:$D1000, $A$19:$A1000=A14), TRUE)/C14, 0)"),0.6666666666666666)</f>
        <v>0.6666666667</v>
      </c>
      <c r="E14" s="39">
        <v>1.595777344E9</v>
      </c>
      <c r="F14" s="64">
        <f>IFERROR(__xludf.DUMMYFUNCTION("INDEX(SPLIT(E14, char(10)), 0, 1)/86400+date(1970,1,1)"),44038.64518518519)</f>
        <v>44038.64519</v>
      </c>
      <c r="G14" s="84" t="s">
        <v>715</v>
      </c>
      <c r="H14" s="84" t="s">
        <v>716</v>
      </c>
      <c r="I14" s="39" t="s">
        <v>15</v>
      </c>
    </row>
    <row r="15">
      <c r="A15" s="5" t="s">
        <v>6</v>
      </c>
      <c r="B15" s="5" t="s">
        <v>134</v>
      </c>
      <c r="C15" s="73">
        <f t="shared" si="5"/>
        <v>7</v>
      </c>
      <c r="D15" s="74">
        <f>IFERROR(__xludf.DUMMYFUNCTION("IF(C15, COUNTIF(FILTER($D$19:$D1000, $A$19:$A1000=A15), TRUE)/C15, 0)"),0.42857142857142855)</f>
        <v>0.4285714286</v>
      </c>
      <c r="E15" s="39">
        <v>1.59577765E9</v>
      </c>
      <c r="F15" s="64">
        <f>IFERROR(__xludf.DUMMYFUNCTION("INDEX(SPLIT(E15, char(10)), 0, 1)/86400+date(1970,1,1)"),44038.648726851854)</f>
        <v>44038.64873</v>
      </c>
      <c r="G15" s="84" t="s">
        <v>717</v>
      </c>
      <c r="H15" s="84" t="s">
        <v>718</v>
      </c>
      <c r="I15" s="39" t="s">
        <v>17</v>
      </c>
    </row>
    <row r="16">
      <c r="A16" s="5" t="s">
        <v>7</v>
      </c>
      <c r="B16" s="5" t="s">
        <v>137</v>
      </c>
      <c r="C16" s="73">
        <f t="shared" si="5"/>
        <v>4</v>
      </c>
      <c r="D16" s="74">
        <f>IFERROR(__xludf.DUMMYFUNCTION("IF(C16, COUNTIF(FILTER($D$19:$D1000, $A$19:$A1000=A16), TRUE)/C16, 0)"),0.0)</f>
        <v>0</v>
      </c>
      <c r="E16" s="39">
        <v>1.595777768E9</v>
      </c>
      <c r="F16" s="64">
        <f>IFERROR(__xludf.DUMMYFUNCTION("INDEX(SPLIT(E16, char(10)), 0, 1)/86400+date(1970,1,1)"),44038.650092592594)</f>
        <v>44038.65009</v>
      </c>
      <c r="G16" s="84" t="s">
        <v>719</v>
      </c>
      <c r="H16" s="84" t="s">
        <v>720</v>
      </c>
      <c r="I16" s="39" t="s">
        <v>75</v>
      </c>
    </row>
    <row r="17">
      <c r="A17" s="5" t="s">
        <v>8</v>
      </c>
      <c r="B17" s="5" t="s">
        <v>79</v>
      </c>
      <c r="C17" s="73">
        <f t="shared" si="5"/>
        <v>9</v>
      </c>
      <c r="D17" s="74">
        <f>IFERROR(__xludf.DUMMYFUNCTION("IF(C17, COUNTIF(FILTER($D$19:$D1000, $A$19:$A1000=A17), TRUE)/C17, 0)"),0.3333333333333333)</f>
        <v>0.3333333333</v>
      </c>
      <c r="E17" s="39">
        <v>1.595778032E9</v>
      </c>
      <c r="F17" s="64">
        <f>IFERROR(__xludf.DUMMYFUNCTION("INDEX(SPLIT(E17, char(10)), 0, 1)/86400+date(1970,1,1)"),44038.65314814815)</f>
        <v>44038.65315</v>
      </c>
      <c r="G17" s="84" t="s">
        <v>721</v>
      </c>
      <c r="H17" s="84" t="s">
        <v>722</v>
      </c>
      <c r="I17" s="39" t="s">
        <v>15</v>
      </c>
    </row>
    <row r="18">
      <c r="A18" s="72"/>
      <c r="B18" s="70" t="s">
        <v>9</v>
      </c>
      <c r="C18" s="73">
        <f>SUM(C14:C17)</f>
        <v>23</v>
      </c>
      <c r="D18" s="74">
        <f>COUNTIF($D$19:$D1000, TRUE)/SUM($C$14:$C$17)</f>
        <v>0.347826087</v>
      </c>
      <c r="E18" s="39">
        <v>1.595778123E9</v>
      </c>
      <c r="F18" s="64">
        <f>IFERROR(__xludf.DUMMYFUNCTION("INDEX(SPLIT(E18, char(10)), 0, 1)/86400+date(1970,1,1)"),44038.65420138889)</f>
        <v>44038.6542</v>
      </c>
      <c r="G18" s="84" t="s">
        <v>723</v>
      </c>
      <c r="H18" s="84" t="s">
        <v>724</v>
      </c>
      <c r="I18" s="39" t="s">
        <v>17</v>
      </c>
    </row>
    <row r="19">
      <c r="A19" s="75" t="s">
        <v>7</v>
      </c>
      <c r="B19" s="75" t="s">
        <v>149</v>
      </c>
      <c r="C19" s="76">
        <v>1.0</v>
      </c>
      <c r="D19" s="78" t="b">
        <v>0</v>
      </c>
      <c r="E19" s="39">
        <v>1.59577822E9</v>
      </c>
      <c r="F19" s="64">
        <f>IFERROR(__xludf.DUMMYFUNCTION("INDEX(SPLIT(E19, char(10)), 0, 1)/86400+date(1970,1,1)"),44038.655324074076)</f>
        <v>44038.65532</v>
      </c>
      <c r="G19" s="84" t="s">
        <v>725</v>
      </c>
      <c r="H19" s="84" t="s">
        <v>726</v>
      </c>
      <c r="I19" s="39" t="s">
        <v>17</v>
      </c>
    </row>
    <row r="20">
      <c r="A20" s="75" t="s">
        <v>6</v>
      </c>
      <c r="B20" s="75" t="s">
        <v>727</v>
      </c>
      <c r="C20" s="76">
        <v>9.0</v>
      </c>
      <c r="D20" s="78" t="b">
        <v>1</v>
      </c>
      <c r="E20" s="39">
        <v>1.595778426E9</v>
      </c>
      <c r="F20" s="64">
        <f>IFERROR(__xludf.DUMMYFUNCTION("INDEX(SPLIT(E20, char(10)), 0, 1)/86400+date(1970,1,1)"),44038.65770833333)</f>
        <v>44038.65771</v>
      </c>
      <c r="G20" s="84" t="s">
        <v>728</v>
      </c>
      <c r="H20" s="84" t="s">
        <v>729</v>
      </c>
      <c r="I20" s="39" t="s">
        <v>17</v>
      </c>
    </row>
    <row r="21">
      <c r="A21" s="75" t="s">
        <v>130</v>
      </c>
      <c r="B21" s="75" t="s">
        <v>730</v>
      </c>
      <c r="C21" s="76">
        <v>33.0</v>
      </c>
      <c r="D21" s="78" t="b">
        <v>0</v>
      </c>
      <c r="E21" s="39">
        <v>1.595778518E9</v>
      </c>
      <c r="F21" s="64">
        <f>IFERROR(__xludf.DUMMYFUNCTION("INDEX(SPLIT(E21, char(10)), 0, 1)/86400+date(1970,1,1)"),44038.65877314815)</f>
        <v>44038.65877</v>
      </c>
      <c r="G21" s="84" t="s">
        <v>731</v>
      </c>
      <c r="H21" s="84" t="s">
        <v>732</v>
      </c>
      <c r="I21" s="39" t="s">
        <v>15</v>
      </c>
    </row>
    <row r="22">
      <c r="A22" s="75" t="s">
        <v>7</v>
      </c>
      <c r="B22" s="75" t="s">
        <v>155</v>
      </c>
      <c r="C22" s="76">
        <v>45.0</v>
      </c>
      <c r="D22" s="78" t="b">
        <v>0</v>
      </c>
      <c r="E22" s="39">
        <v>1.595778614E9</v>
      </c>
      <c r="F22" s="64">
        <f>IFERROR(__xludf.DUMMYFUNCTION("INDEX(SPLIT(E22, char(10)), 0, 1)/86400+date(1970,1,1)"),44038.65988425926)</f>
        <v>44038.65988</v>
      </c>
      <c r="G22" s="84" t="s">
        <v>733</v>
      </c>
      <c r="H22" s="84" t="s">
        <v>734</v>
      </c>
      <c r="I22" s="39" t="s">
        <v>15</v>
      </c>
    </row>
    <row r="23">
      <c r="A23" s="75" t="s">
        <v>7</v>
      </c>
      <c r="B23" s="75" t="s">
        <v>158</v>
      </c>
      <c r="C23" s="76">
        <v>45.0</v>
      </c>
      <c r="D23" s="78" t="b">
        <v>0</v>
      </c>
      <c r="E23" s="39">
        <v>1.595778726E9</v>
      </c>
      <c r="F23" s="64">
        <f>IFERROR(__xludf.DUMMYFUNCTION("INDEX(SPLIT(E23, char(10)), 0, 1)/86400+date(1970,1,1)"),44038.66118055556)</f>
        <v>44038.66118</v>
      </c>
      <c r="G23" s="84" t="s">
        <v>735</v>
      </c>
      <c r="H23" s="84" t="s">
        <v>736</v>
      </c>
      <c r="I23" s="39" t="s">
        <v>15</v>
      </c>
    </row>
    <row r="24">
      <c r="A24" s="5" t="s">
        <v>8</v>
      </c>
      <c r="B24" s="5" t="s">
        <v>737</v>
      </c>
      <c r="C24" s="76">
        <v>58.0</v>
      </c>
      <c r="D24" s="78" t="b">
        <v>1</v>
      </c>
      <c r="E24" s="39">
        <v>1.595778872E9</v>
      </c>
      <c r="F24" s="64">
        <f>IFERROR(__xludf.DUMMYFUNCTION("INDEX(SPLIT(E24, char(10)), 0, 1)/86400+date(1970,1,1)"),44038.662870370375)</f>
        <v>44038.66287</v>
      </c>
      <c r="G24" s="84" t="s">
        <v>738</v>
      </c>
      <c r="H24" s="84" t="s">
        <v>739</v>
      </c>
      <c r="I24" s="39" t="s">
        <v>15</v>
      </c>
    </row>
    <row r="25">
      <c r="A25" s="75" t="s">
        <v>6</v>
      </c>
      <c r="B25" s="72" t="s">
        <v>740</v>
      </c>
      <c r="C25" s="76">
        <v>63.0</v>
      </c>
      <c r="D25" s="78" t="b">
        <v>1</v>
      </c>
      <c r="E25" s="39">
        <v>1.595778964E9</v>
      </c>
      <c r="F25" s="64">
        <f>IFERROR(__xludf.DUMMYFUNCTION("INDEX(SPLIT(E25, char(10)), 0, 1)/86400+date(1970,1,1)"),44038.663935185185)</f>
        <v>44038.66394</v>
      </c>
      <c r="G25" s="84" t="s">
        <v>741</v>
      </c>
      <c r="H25" s="84" t="s">
        <v>742</v>
      </c>
      <c r="I25" s="39" t="s">
        <v>14</v>
      </c>
    </row>
    <row r="26">
      <c r="A26" s="75" t="s">
        <v>6</v>
      </c>
      <c r="B26" s="72" t="s">
        <v>743</v>
      </c>
      <c r="C26" s="76">
        <v>69.0</v>
      </c>
      <c r="D26" s="78" t="b">
        <v>0</v>
      </c>
      <c r="E26" s="39">
        <v>1.595779098E9</v>
      </c>
      <c r="F26" s="64">
        <f>IFERROR(__xludf.DUMMYFUNCTION("INDEX(SPLIT(E26, char(10)), 0, 1)/86400+date(1970,1,1)"),44038.66548611112)</f>
        <v>44038.66549</v>
      </c>
      <c r="G26" s="84" t="s">
        <v>744</v>
      </c>
      <c r="H26" s="84" t="s">
        <v>745</v>
      </c>
      <c r="I26" s="39" t="s">
        <v>14</v>
      </c>
    </row>
    <row r="27">
      <c r="A27" s="75" t="s">
        <v>130</v>
      </c>
      <c r="B27" s="72" t="s">
        <v>746</v>
      </c>
      <c r="C27" s="76">
        <v>70.0</v>
      </c>
      <c r="D27" s="78" t="b">
        <v>1</v>
      </c>
      <c r="E27" s="39">
        <v>1.595779318E9</v>
      </c>
      <c r="F27" s="64">
        <f>IFERROR(__xludf.DUMMYFUNCTION("INDEX(SPLIT(E27, char(10)), 0, 1)/86400+date(1970,1,1)"),44038.66803240741)</f>
        <v>44038.66803</v>
      </c>
      <c r="G27" s="84" t="s">
        <v>747</v>
      </c>
      <c r="H27" s="84" t="s">
        <v>748</v>
      </c>
      <c r="I27" s="39" t="s">
        <v>15</v>
      </c>
    </row>
    <row r="28">
      <c r="A28" s="75" t="s">
        <v>8</v>
      </c>
      <c r="B28" s="72" t="s">
        <v>749</v>
      </c>
      <c r="C28" s="76">
        <v>73.0</v>
      </c>
      <c r="D28" s="78" t="b">
        <v>0</v>
      </c>
      <c r="E28" s="39">
        <v>1.595779432E9</v>
      </c>
      <c r="F28" s="64">
        <f>IFERROR(__xludf.DUMMYFUNCTION("INDEX(SPLIT(E28, char(10)), 0, 1)/86400+date(1970,1,1)"),44038.66935185185)</f>
        <v>44038.66935</v>
      </c>
      <c r="G28" s="84" t="s">
        <v>750</v>
      </c>
      <c r="H28" s="84" t="s">
        <v>751</v>
      </c>
      <c r="I28" s="39" t="s">
        <v>15</v>
      </c>
    </row>
    <row r="29">
      <c r="A29" s="75" t="s">
        <v>8</v>
      </c>
      <c r="B29" s="72" t="s">
        <v>752</v>
      </c>
      <c r="C29" s="76">
        <v>73.0</v>
      </c>
      <c r="D29" s="78" t="b">
        <v>0</v>
      </c>
      <c r="E29" s="39">
        <v>1.595779535E9</v>
      </c>
      <c r="F29" s="64">
        <f>IFERROR(__xludf.DUMMYFUNCTION("INDEX(SPLIT(E29, char(10)), 0, 1)/86400+date(1970,1,1)"),44038.67054398148)</f>
        <v>44038.67054</v>
      </c>
      <c r="G29" s="84" t="s">
        <v>753</v>
      </c>
      <c r="H29" s="84" t="s">
        <v>754</v>
      </c>
      <c r="I29" s="39" t="s">
        <v>17</v>
      </c>
    </row>
    <row r="30">
      <c r="A30" s="75" t="s">
        <v>8</v>
      </c>
      <c r="B30" s="72" t="s">
        <v>755</v>
      </c>
      <c r="C30" s="76">
        <v>73.0</v>
      </c>
      <c r="D30" s="78" t="b">
        <v>0</v>
      </c>
      <c r="E30" s="39">
        <v>1.595779629E9</v>
      </c>
      <c r="F30" s="64">
        <f>IFERROR(__xludf.DUMMYFUNCTION("INDEX(SPLIT(E30, char(10)), 0, 1)/86400+date(1970,1,1)"),44038.671631944446)</f>
        <v>44038.67163</v>
      </c>
      <c r="G30" s="84" t="s">
        <v>756</v>
      </c>
      <c r="H30" s="84" t="s">
        <v>757</v>
      </c>
      <c r="I30" s="39" t="s">
        <v>17</v>
      </c>
    </row>
    <row r="31">
      <c r="A31" s="75" t="s">
        <v>8</v>
      </c>
      <c r="B31" s="72" t="s">
        <v>758</v>
      </c>
      <c r="C31" s="76">
        <v>77.0</v>
      </c>
      <c r="D31" s="78" t="b">
        <v>1</v>
      </c>
      <c r="E31" s="39">
        <v>1.595779756E9</v>
      </c>
      <c r="F31" s="64">
        <f>IFERROR(__xludf.DUMMYFUNCTION("INDEX(SPLIT(E31, char(10)), 0, 1)/86400+date(1970,1,1)"),44038.67310185185)</f>
        <v>44038.6731</v>
      </c>
      <c r="G31" s="84" t="s">
        <v>759</v>
      </c>
      <c r="H31" s="84" t="s">
        <v>760</v>
      </c>
      <c r="I31" s="39" t="s">
        <v>75</v>
      </c>
    </row>
    <row r="32">
      <c r="A32" s="75" t="s">
        <v>6</v>
      </c>
      <c r="B32" s="72" t="s">
        <v>761</v>
      </c>
      <c r="C32" s="76">
        <v>83.0</v>
      </c>
      <c r="D32" s="78" t="b">
        <v>0</v>
      </c>
      <c r="E32" s="39">
        <v>1.595779937E9</v>
      </c>
      <c r="F32" s="64">
        <f>IFERROR(__xludf.DUMMYFUNCTION("INDEX(SPLIT(E32, char(10)), 0, 1)/86400+date(1970,1,1)"),44038.67519675926)</f>
        <v>44038.6752</v>
      </c>
      <c r="G32" s="84" t="s">
        <v>762</v>
      </c>
      <c r="H32" s="84" t="s">
        <v>763</v>
      </c>
      <c r="I32" s="39" t="s">
        <v>16</v>
      </c>
    </row>
    <row r="33">
      <c r="A33" s="75" t="s">
        <v>8</v>
      </c>
      <c r="B33" s="72" t="s">
        <v>764</v>
      </c>
      <c r="C33" s="76">
        <v>86.0</v>
      </c>
      <c r="D33" s="78" t="b">
        <v>1</v>
      </c>
      <c r="E33" s="39">
        <v>1.595780218E9</v>
      </c>
      <c r="F33" s="64">
        <f>IFERROR(__xludf.DUMMYFUNCTION("INDEX(SPLIT(E33, char(10)), 0, 1)/86400+date(1970,1,1)"),44038.678449074076)</f>
        <v>44038.67845</v>
      </c>
      <c r="G33" s="84" t="s">
        <v>765</v>
      </c>
      <c r="H33" s="84" t="s">
        <v>766</v>
      </c>
      <c r="I33" s="39" t="s">
        <v>17</v>
      </c>
    </row>
    <row r="34">
      <c r="A34" s="75" t="s">
        <v>8</v>
      </c>
      <c r="B34" s="72" t="s">
        <v>767</v>
      </c>
      <c r="C34" s="76">
        <v>88.0</v>
      </c>
      <c r="D34" s="78" t="b">
        <v>0</v>
      </c>
      <c r="E34" s="39">
        <v>1.595780312E9</v>
      </c>
      <c r="F34" s="64">
        <f>IFERROR(__xludf.DUMMYFUNCTION("INDEX(SPLIT(E34, char(10)), 0, 1)/86400+date(1970,1,1)"),44038.67953703704)</f>
        <v>44038.67954</v>
      </c>
      <c r="G34" s="84" t="s">
        <v>768</v>
      </c>
      <c r="H34" s="84" t="s">
        <v>769</v>
      </c>
      <c r="I34" s="39" t="s">
        <v>17</v>
      </c>
    </row>
    <row r="35">
      <c r="A35" s="75" t="s">
        <v>6</v>
      </c>
      <c r="B35" s="72" t="s">
        <v>770</v>
      </c>
      <c r="C35" s="76">
        <v>90.0</v>
      </c>
      <c r="D35" s="78" t="b">
        <v>0</v>
      </c>
      <c r="E35" s="39">
        <v>1.595780413E9</v>
      </c>
      <c r="F35" s="64">
        <f>IFERROR(__xludf.DUMMYFUNCTION("INDEX(SPLIT(E35, char(10)), 0, 1)/86400+date(1970,1,1)"),44038.680706018524)</f>
        <v>44038.68071</v>
      </c>
      <c r="G35" s="84" t="s">
        <v>771</v>
      </c>
      <c r="H35" s="84" t="s">
        <v>772</v>
      </c>
      <c r="I35" s="39" t="s">
        <v>16</v>
      </c>
    </row>
    <row r="36">
      <c r="A36" s="75" t="s">
        <v>6</v>
      </c>
      <c r="B36" s="72" t="s">
        <v>773</v>
      </c>
      <c r="C36" s="76">
        <v>92.0</v>
      </c>
      <c r="D36" s="78" t="b">
        <v>0</v>
      </c>
      <c r="E36" s="39">
        <v>1.59578059E9</v>
      </c>
      <c r="F36" s="64">
        <f>IFERROR(__xludf.DUMMYFUNCTION("INDEX(SPLIT(E36, char(10)), 0, 1)/86400+date(1970,1,1)"),44038.682754629626)</f>
        <v>44038.68275</v>
      </c>
      <c r="G36" s="84" t="s">
        <v>774</v>
      </c>
      <c r="H36" s="84" t="s">
        <v>775</v>
      </c>
      <c r="I36" s="39" t="s">
        <v>17</v>
      </c>
    </row>
    <row r="37">
      <c r="A37" s="75" t="s">
        <v>6</v>
      </c>
      <c r="B37" s="72" t="s">
        <v>776</v>
      </c>
      <c r="C37" s="76">
        <v>94.0</v>
      </c>
      <c r="D37" s="78" t="b">
        <v>1</v>
      </c>
      <c r="E37" s="39">
        <v>1.59578074E9</v>
      </c>
      <c r="F37" s="64">
        <f>IFERROR(__xludf.DUMMYFUNCTION("INDEX(SPLIT(E37, char(10)), 0, 1)/86400+date(1970,1,1)"),44038.684490740736)</f>
        <v>44038.68449</v>
      </c>
      <c r="G37" s="84" t="s">
        <v>777</v>
      </c>
      <c r="H37" s="84" t="s">
        <v>778</v>
      </c>
      <c r="I37" s="39" t="s">
        <v>15</v>
      </c>
    </row>
    <row r="38">
      <c r="A38" s="75" t="s">
        <v>8</v>
      </c>
      <c r="B38" s="72" t="s">
        <v>779</v>
      </c>
      <c r="C38" s="76">
        <v>97.0</v>
      </c>
      <c r="D38" s="78" t="b">
        <v>0</v>
      </c>
      <c r="E38" s="39">
        <v>1.59578083E9</v>
      </c>
      <c r="F38" s="64">
        <f>IFERROR(__xludf.DUMMYFUNCTION("INDEX(SPLIT(E38, char(10)), 0, 1)/86400+date(1970,1,1)"),44038.685532407406)</f>
        <v>44038.68553</v>
      </c>
      <c r="G38" s="84" t="s">
        <v>780</v>
      </c>
      <c r="H38" s="84" t="s">
        <v>781</v>
      </c>
      <c r="I38" s="39" t="s">
        <v>17</v>
      </c>
    </row>
    <row r="39">
      <c r="A39" s="75" t="s">
        <v>8</v>
      </c>
      <c r="B39" s="72" t="s">
        <v>782</v>
      </c>
      <c r="C39" s="76">
        <v>97.0</v>
      </c>
      <c r="D39" s="78" t="b">
        <v>0</v>
      </c>
      <c r="E39" s="39">
        <v>1.59578092E9</v>
      </c>
      <c r="F39" s="64">
        <f>IFERROR(__xludf.DUMMYFUNCTION("INDEX(SPLIT(E39, char(10)), 0, 1)/86400+date(1970,1,1)"),44038.686574074076)</f>
        <v>44038.68657</v>
      </c>
      <c r="G39" s="84" t="s">
        <v>783</v>
      </c>
      <c r="H39" s="84" t="s">
        <v>784</v>
      </c>
      <c r="I39" s="39" t="s">
        <v>16</v>
      </c>
    </row>
    <row r="40">
      <c r="A40" s="75" t="s">
        <v>130</v>
      </c>
      <c r="B40" s="72" t="s">
        <v>785</v>
      </c>
      <c r="C40" s="76">
        <v>98.0</v>
      </c>
      <c r="D40" s="78" t="b">
        <v>1</v>
      </c>
      <c r="E40" s="39">
        <v>1.595781019E9</v>
      </c>
      <c r="F40" s="64">
        <f>IFERROR(__xludf.DUMMYFUNCTION("INDEX(SPLIT(E40, char(10)), 0, 1)/86400+date(1970,1,1)"),44038.68771990741)</f>
        <v>44038.68772</v>
      </c>
      <c r="G40" s="84" t="s">
        <v>786</v>
      </c>
      <c r="H40" s="84" t="s">
        <v>787</v>
      </c>
      <c r="I40" s="39" t="s">
        <v>15</v>
      </c>
    </row>
    <row r="41">
      <c r="A41" s="75" t="s">
        <v>7</v>
      </c>
      <c r="B41" s="72" t="s">
        <v>183</v>
      </c>
      <c r="C41" s="76">
        <v>90.0</v>
      </c>
      <c r="D41" s="78" t="b">
        <v>0</v>
      </c>
      <c r="E41" s="39">
        <v>1.59578111E9</v>
      </c>
      <c r="F41" s="64">
        <f>IFERROR(__xludf.DUMMYFUNCTION("INDEX(SPLIT(E41, char(10)), 0, 1)/86400+date(1970,1,1)"),44038.68877314815)</f>
        <v>44038.68877</v>
      </c>
      <c r="G41" s="84" t="s">
        <v>788</v>
      </c>
      <c r="H41" s="84" t="s">
        <v>789</v>
      </c>
      <c r="I41" s="39" t="s">
        <v>17</v>
      </c>
    </row>
    <row r="42">
      <c r="A42" s="75"/>
      <c r="B42" s="72"/>
      <c r="C42" s="76"/>
      <c r="D42" s="78"/>
      <c r="E42" s="39">
        <v>1.595781216E9</v>
      </c>
      <c r="F42" s="64">
        <f>IFERROR(__xludf.DUMMYFUNCTION("INDEX(SPLIT(E42, char(10)), 0, 1)/86400+date(1970,1,1)"),44038.69)</f>
        <v>44038.69</v>
      </c>
      <c r="G42" s="84" t="s">
        <v>790</v>
      </c>
      <c r="H42" s="84" t="s">
        <v>791</v>
      </c>
      <c r="I42" s="39" t="s">
        <v>16</v>
      </c>
    </row>
    <row r="43">
      <c r="A43" s="69"/>
      <c r="B43" s="69"/>
      <c r="C43" s="69"/>
      <c r="D43" s="69"/>
      <c r="E43" s="39">
        <v>1.595781314E9</v>
      </c>
      <c r="F43" s="64">
        <f>IFERROR(__xludf.DUMMYFUNCTION("INDEX(SPLIT(E43, char(10)), 0, 1)/86400+date(1970,1,1)"),44038.69113425926)</f>
        <v>44038.69113</v>
      </c>
      <c r="G43" s="84" t="s">
        <v>792</v>
      </c>
      <c r="H43" s="84" t="s">
        <v>793</v>
      </c>
      <c r="I43" s="39" t="s">
        <v>15</v>
      </c>
    </row>
    <row r="44">
      <c r="A44" s="69"/>
      <c r="B44" s="69"/>
      <c r="C44" s="69"/>
      <c r="D44" s="69"/>
      <c r="E44" s="39">
        <v>1.595781414E9</v>
      </c>
      <c r="F44" s="64">
        <f>IFERROR(__xludf.DUMMYFUNCTION("INDEX(SPLIT(E44, char(10)), 0, 1)/86400+date(1970,1,1)"),44038.692291666666)</f>
        <v>44038.69229</v>
      </c>
      <c r="G44" s="84" t="s">
        <v>794</v>
      </c>
      <c r="H44" s="84" t="s">
        <v>795</v>
      </c>
      <c r="I44" s="39" t="s">
        <v>15</v>
      </c>
    </row>
    <row r="45">
      <c r="E45" s="39">
        <v>1.595781504E9</v>
      </c>
      <c r="F45" s="64">
        <f>IFERROR(__xludf.DUMMYFUNCTION("INDEX(SPLIT(E45, char(10)), 0, 1)/86400+date(1970,1,1)"),44038.69333333333)</f>
        <v>44038.69333</v>
      </c>
      <c r="G45" s="84" t="s">
        <v>796</v>
      </c>
      <c r="H45" s="84" t="s">
        <v>797</v>
      </c>
      <c r="I45" s="39" t="s">
        <v>17</v>
      </c>
    </row>
    <row r="46">
      <c r="E46" s="39">
        <v>1.595781627E9</v>
      </c>
      <c r="F46" s="64">
        <f>IFERROR(__xludf.DUMMYFUNCTION("INDEX(SPLIT(E46, char(10)), 0, 1)/86400+date(1970,1,1)"),44038.694756944446)</f>
        <v>44038.69476</v>
      </c>
      <c r="G46" s="84" t="s">
        <v>798</v>
      </c>
      <c r="H46" s="84" t="s">
        <v>799</v>
      </c>
      <c r="I46" s="39" t="s">
        <v>17</v>
      </c>
    </row>
    <row r="47">
      <c r="E47" s="39">
        <v>1.595781717E9</v>
      </c>
      <c r="F47" s="64">
        <f>IFERROR(__xludf.DUMMYFUNCTION("INDEX(SPLIT(E47, char(10)), 0, 1)/86400+date(1970,1,1)"),44038.69579861111)</f>
        <v>44038.6958</v>
      </c>
      <c r="G47" s="84" t="s">
        <v>800</v>
      </c>
      <c r="H47" s="84" t="s">
        <v>801</v>
      </c>
      <c r="I47" s="39" t="s">
        <v>15</v>
      </c>
    </row>
    <row r="48">
      <c r="E48" s="39">
        <v>1.595781818E9</v>
      </c>
      <c r="F48" s="64">
        <f>IFERROR(__xludf.DUMMYFUNCTION("INDEX(SPLIT(E48, char(10)), 0, 1)/86400+date(1970,1,1)"),44038.696967592594)</f>
        <v>44038.69697</v>
      </c>
      <c r="G48" s="84" t="s">
        <v>802</v>
      </c>
      <c r="H48" s="84" t="s">
        <v>803</v>
      </c>
      <c r="I48" s="39" t="s">
        <v>16</v>
      </c>
    </row>
    <row r="49">
      <c r="E49" s="39">
        <v>1.59578221E9</v>
      </c>
      <c r="F49" s="64">
        <f>IFERROR(__xludf.DUMMYFUNCTION("INDEX(SPLIT(E49, char(10)), 0, 1)/86400+date(1970,1,1)"),44038.70150462963)</f>
        <v>44038.7015</v>
      </c>
      <c r="G49" s="84" t="s">
        <v>804</v>
      </c>
      <c r="H49" s="84" t="s">
        <v>805</v>
      </c>
      <c r="I49" s="39" t="s">
        <v>17</v>
      </c>
    </row>
    <row r="50">
      <c r="E50" s="39">
        <v>1.595782321E9</v>
      </c>
      <c r="F50" s="64">
        <f>IFERROR(__xludf.DUMMYFUNCTION("INDEX(SPLIT(E50, char(10)), 0, 1)/86400+date(1970,1,1)"),44038.70278935185)</f>
        <v>44038.70279</v>
      </c>
      <c r="G50" s="84" t="s">
        <v>806</v>
      </c>
      <c r="H50" s="84" t="s">
        <v>807</v>
      </c>
      <c r="I50" s="39" t="s">
        <v>16</v>
      </c>
    </row>
    <row r="51">
      <c r="E51" s="39">
        <v>1.595782415E9</v>
      </c>
      <c r="F51" s="64">
        <f>IFERROR(__xludf.DUMMYFUNCTION("INDEX(SPLIT(E51, char(10)), 0, 1)/86400+date(1970,1,1)"),44038.703877314816)</f>
        <v>44038.70388</v>
      </c>
      <c r="G51" s="84" t="s">
        <v>808</v>
      </c>
      <c r="H51" s="84" t="s">
        <v>809</v>
      </c>
      <c r="I51" s="39" t="s">
        <v>17</v>
      </c>
    </row>
    <row r="52">
      <c r="E52" s="39">
        <v>1.595782524E9</v>
      </c>
      <c r="F52" s="64">
        <f>IFERROR(__xludf.DUMMYFUNCTION("INDEX(SPLIT(E52, char(10)), 0, 1)/86400+date(1970,1,1)"),44038.705138888894)</f>
        <v>44038.70514</v>
      </c>
      <c r="G52" s="84" t="s">
        <v>810</v>
      </c>
      <c r="H52" s="84" t="s">
        <v>811</v>
      </c>
      <c r="I52" s="39" t="s">
        <v>16</v>
      </c>
    </row>
    <row r="53">
      <c r="E53" s="39">
        <v>1.595782619E9</v>
      </c>
      <c r="F53" s="64">
        <f>IFERROR(__xludf.DUMMYFUNCTION("INDEX(SPLIT(E53, char(10)), 0, 1)/86400+date(1970,1,1)"),44038.706238425926)</f>
        <v>44038.70624</v>
      </c>
      <c r="G53" s="84" t="s">
        <v>812</v>
      </c>
      <c r="H53" s="84" t="s">
        <v>813</v>
      </c>
      <c r="I53" s="39" t="s">
        <v>75</v>
      </c>
    </row>
    <row r="54">
      <c r="E54" s="39">
        <v>1.595782709E9</v>
      </c>
      <c r="F54" s="64">
        <f>IFERROR(__xludf.DUMMYFUNCTION("INDEX(SPLIT(E54, char(10)), 0, 1)/86400+date(1970,1,1)"),44038.707280092596)</f>
        <v>44038.70728</v>
      </c>
      <c r="G54" s="84" t="s">
        <v>814</v>
      </c>
      <c r="H54" s="84" t="s">
        <v>815</v>
      </c>
      <c r="I54" s="39" t="s">
        <v>75</v>
      </c>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0.04081632653</v>
      </c>
      <c r="E2" s="87">
        <v>1.59577563E9</v>
      </c>
      <c r="F2" s="64">
        <f>IFERROR(__xludf.DUMMYFUNCTION("INDEX(SPLIT(E2, char(10)), 0, 1)/86400+date(1970,1,1)"),44038.62534722222)</f>
        <v>44038.62535</v>
      </c>
      <c r="G2" s="84" t="s">
        <v>690</v>
      </c>
      <c r="H2" s="84" t="s">
        <v>691</v>
      </c>
      <c r="I2" s="39" t="s">
        <v>14</v>
      </c>
      <c r="J2" s="39"/>
    </row>
    <row r="3">
      <c r="A3" s="39" t="s">
        <v>14</v>
      </c>
      <c r="B3" s="39" t="s">
        <v>101</v>
      </c>
      <c r="C3" s="39">
        <f t="shared" si="1"/>
        <v>12</v>
      </c>
      <c r="D3" s="62">
        <f t="shared" si="2"/>
        <v>0.2448979592</v>
      </c>
      <c r="E3" s="87">
        <v>1.595775758E9</v>
      </c>
      <c r="F3" s="64">
        <f>IFERROR(__xludf.DUMMYFUNCTION("INDEX(SPLIT(E3, char(10)), 0, 1)/86400+date(1970,1,1)"),44038.6268287037)</f>
        <v>44038.62683</v>
      </c>
      <c r="G3" s="84" t="s">
        <v>816</v>
      </c>
      <c r="H3" s="84" t="s">
        <v>817</v>
      </c>
      <c r="I3" s="39" t="s">
        <v>17</v>
      </c>
      <c r="J3" s="39"/>
    </row>
    <row r="4">
      <c r="A4" s="39" t="s">
        <v>15</v>
      </c>
      <c r="B4" s="39" t="s">
        <v>104</v>
      </c>
      <c r="C4" s="39">
        <f t="shared" si="1"/>
        <v>6</v>
      </c>
      <c r="D4" s="62">
        <f t="shared" si="2"/>
        <v>0.1224489796</v>
      </c>
      <c r="E4" s="87">
        <v>1.595775961E9</v>
      </c>
      <c r="F4" s="64">
        <f>IFERROR(__xludf.DUMMYFUNCTION("INDEX(SPLIT(E4, char(10)), 0, 1)/86400+date(1970,1,1)"),44038.62917824074)</f>
        <v>44038.62918</v>
      </c>
      <c r="G4" s="84" t="s">
        <v>694</v>
      </c>
      <c r="H4" s="84" t="s">
        <v>818</v>
      </c>
      <c r="I4" s="39" t="s">
        <v>15</v>
      </c>
      <c r="J4" s="39"/>
    </row>
    <row r="5">
      <c r="A5" s="39" t="s">
        <v>16</v>
      </c>
      <c r="B5" s="39" t="s">
        <v>107</v>
      </c>
      <c r="C5" s="39">
        <f t="shared" si="1"/>
        <v>10</v>
      </c>
      <c r="D5" s="62">
        <f t="shared" si="2"/>
        <v>0.2040816327</v>
      </c>
      <c r="E5" s="87">
        <v>1.595776074E9</v>
      </c>
      <c r="F5" s="64">
        <f>IFERROR(__xludf.DUMMYFUNCTION("INDEX(SPLIT(E5, char(10)), 0, 1)/86400+date(1970,1,1)"),44038.63048611111)</f>
        <v>44038.63049</v>
      </c>
      <c r="G5" s="84" t="s">
        <v>819</v>
      </c>
      <c r="H5" s="84" t="s">
        <v>820</v>
      </c>
      <c r="I5" s="39" t="s">
        <v>14</v>
      </c>
      <c r="J5" s="39"/>
    </row>
    <row r="6">
      <c r="A6" s="39" t="s">
        <v>17</v>
      </c>
      <c r="B6" s="39" t="s">
        <v>110</v>
      </c>
      <c r="C6" s="39">
        <f t="shared" si="1"/>
        <v>19</v>
      </c>
      <c r="D6" s="62">
        <f t="shared" si="2"/>
        <v>0.387755102</v>
      </c>
      <c r="E6" s="87">
        <v>1.595776167E9</v>
      </c>
      <c r="F6" s="64">
        <f>IFERROR(__xludf.DUMMYFUNCTION("INDEX(SPLIT(E6, char(10)), 0, 1)/86400+date(1970,1,1)"),44038.6315625)</f>
        <v>44038.63156</v>
      </c>
      <c r="G6" s="84" t="s">
        <v>821</v>
      </c>
      <c r="H6" s="84" t="s">
        <v>822</v>
      </c>
      <c r="I6" s="39" t="s">
        <v>16</v>
      </c>
    </row>
    <row r="7">
      <c r="B7" s="39" t="s">
        <v>13</v>
      </c>
      <c r="C7" s="67">
        <f t="shared" ref="C7:D7" si="3">SUM(C2:C6)</f>
        <v>49</v>
      </c>
      <c r="D7" s="68">
        <f t="shared" si="3"/>
        <v>1</v>
      </c>
      <c r="E7" s="87">
        <v>1.595776264E9</v>
      </c>
      <c r="F7" s="64">
        <f>IFERROR(__xludf.DUMMYFUNCTION("INDEX(SPLIT(E7, char(10)), 0, 1)/86400+date(1970,1,1)"),44038.632685185185)</f>
        <v>44038.63269</v>
      </c>
      <c r="G7" s="84" t="s">
        <v>823</v>
      </c>
      <c r="H7" s="84" t="s">
        <v>824</v>
      </c>
      <c r="I7" s="39" t="s">
        <v>17</v>
      </c>
    </row>
    <row r="8">
      <c r="A8" s="69"/>
      <c r="B8" s="39" t="s">
        <v>18</v>
      </c>
      <c r="C8" s="55">
        <f t="shared" ref="C8:D8" si="4">SUM(C5:C6)</f>
        <v>29</v>
      </c>
      <c r="D8" s="13">
        <f t="shared" si="4"/>
        <v>0.5918367347</v>
      </c>
      <c r="E8" s="87">
        <v>1.595776479E9</v>
      </c>
      <c r="F8" s="64">
        <f>IFERROR(__xludf.DUMMYFUNCTION("INDEX(SPLIT(E8, char(10)), 0, 1)/86400+date(1970,1,1)"),44038.63517361111)</f>
        <v>44038.63517</v>
      </c>
      <c r="G8" s="84" t="s">
        <v>825</v>
      </c>
      <c r="H8" s="84" t="s">
        <v>826</v>
      </c>
      <c r="I8" s="39" t="s">
        <v>17</v>
      </c>
    </row>
    <row r="9">
      <c r="A9" s="69"/>
      <c r="B9" s="39" t="s">
        <v>47</v>
      </c>
      <c r="C9" s="55">
        <f>SUM(C6:C7)</f>
        <v>68</v>
      </c>
      <c r="D9" s="13">
        <f>SUM(D5:D6) + D2</f>
        <v>0.6326530612</v>
      </c>
      <c r="E9" s="87">
        <v>1.595776584E9</v>
      </c>
      <c r="F9" s="64">
        <f>IFERROR(__xludf.DUMMYFUNCTION("INDEX(SPLIT(E9, char(10)), 0, 1)/86400+date(1970,1,1)"),44038.63638888889)</f>
        <v>44038.63639</v>
      </c>
      <c r="G9" s="84" t="s">
        <v>827</v>
      </c>
      <c r="H9" s="84" t="s">
        <v>828</v>
      </c>
      <c r="I9" s="39" t="s">
        <v>14</v>
      </c>
    </row>
    <row r="10">
      <c r="A10" s="69"/>
      <c r="B10" s="69"/>
      <c r="C10" s="69"/>
      <c r="D10" s="69"/>
      <c r="E10" s="87">
        <v>1.595776823E9</v>
      </c>
      <c r="F10" s="64">
        <f>IFERROR(__xludf.DUMMYFUNCTION("INDEX(SPLIT(E10, char(10)), 0, 1)/86400+date(1970,1,1)"),44038.63915509259)</f>
        <v>44038.63916</v>
      </c>
      <c r="G10" s="84" t="s">
        <v>829</v>
      </c>
      <c r="H10" s="84" t="s">
        <v>830</v>
      </c>
      <c r="I10" s="39" t="s">
        <v>14</v>
      </c>
    </row>
    <row r="11">
      <c r="A11" s="69"/>
      <c r="B11" s="69"/>
      <c r="C11" s="69"/>
      <c r="D11" s="69"/>
      <c r="E11" s="87">
        <v>1.595776915E9</v>
      </c>
      <c r="F11" s="64">
        <f>IFERROR(__xludf.DUMMYFUNCTION("INDEX(SPLIT(E11, char(10)), 0, 1)/86400+date(1970,1,1)"),44038.64021990741)</f>
        <v>44038.64022</v>
      </c>
      <c r="G11" s="84" t="s">
        <v>831</v>
      </c>
      <c r="H11" s="84" t="s">
        <v>832</v>
      </c>
      <c r="I11" s="39" t="s">
        <v>17</v>
      </c>
    </row>
    <row r="12">
      <c r="A12" s="70" t="s">
        <v>123</v>
      </c>
      <c r="B12" s="71" t="s">
        <v>833</v>
      </c>
      <c r="C12" s="72"/>
      <c r="D12" s="72"/>
      <c r="E12" s="87">
        <v>1.595777101E9</v>
      </c>
      <c r="F12" s="64">
        <f>IFERROR(__xludf.DUMMYFUNCTION("INDEX(SPLIT(E12, char(10)), 0, 1)/86400+date(1970,1,1)"),44038.642372685186)</f>
        <v>44038.64237</v>
      </c>
      <c r="G12" s="84" t="s">
        <v>834</v>
      </c>
      <c r="H12" s="84" t="s">
        <v>835</v>
      </c>
      <c r="I12" s="39" t="s">
        <v>17</v>
      </c>
    </row>
    <row r="13">
      <c r="A13" s="70" t="s">
        <v>127</v>
      </c>
      <c r="B13" s="72"/>
      <c r="C13" s="70" t="s">
        <v>91</v>
      </c>
      <c r="D13" s="70" t="s">
        <v>92</v>
      </c>
      <c r="E13" s="87">
        <v>1.595777193E9</v>
      </c>
      <c r="F13" s="64">
        <f>IFERROR(__xludf.DUMMYFUNCTION("INDEX(SPLIT(E13, char(10)), 0, 1)/86400+date(1970,1,1)"),44038.643437499995)</f>
        <v>44038.64344</v>
      </c>
      <c r="G13" s="84" t="s">
        <v>836</v>
      </c>
      <c r="H13" s="84" t="s">
        <v>837</v>
      </c>
      <c r="I13" s="39" t="s">
        <v>17</v>
      </c>
    </row>
    <row r="14">
      <c r="A14" s="5" t="s">
        <v>130</v>
      </c>
      <c r="B14" s="5" t="s">
        <v>131</v>
      </c>
      <c r="C14" s="73">
        <f t="shared" ref="C14:C17" si="5">COUNTIF($A$19:$A1000, A14)</f>
        <v>3</v>
      </c>
      <c r="D14" s="74">
        <f>IFERROR(__xludf.DUMMYFUNCTION("IF(C14, COUNTIF(FILTER($D$19:$D1000, $A$19:$A1000=A14), TRUE)/C14, 0)"),0.3333333333333333)</f>
        <v>0.3333333333</v>
      </c>
      <c r="E14" s="87">
        <v>1.595777284E9</v>
      </c>
      <c r="F14" s="64">
        <f>IFERROR(__xludf.DUMMYFUNCTION("INDEX(SPLIT(E14, char(10)), 0, 1)/86400+date(1970,1,1)"),44038.64449074074)</f>
        <v>44038.64449</v>
      </c>
      <c r="G14" s="84" t="s">
        <v>838</v>
      </c>
      <c r="H14" s="84" t="s">
        <v>839</v>
      </c>
      <c r="I14" s="39" t="s">
        <v>14</v>
      </c>
    </row>
    <row r="15">
      <c r="A15" s="5" t="s">
        <v>6</v>
      </c>
      <c r="B15" s="5" t="s">
        <v>134</v>
      </c>
      <c r="C15" s="73">
        <f t="shared" si="5"/>
        <v>7</v>
      </c>
      <c r="D15" s="74">
        <f>IFERROR(__xludf.DUMMYFUNCTION("IF(C15, COUNTIF(FILTER($D$19:$D1000, $A$19:$A1000=A15), TRUE)/C15, 0)"),0.42857142857142855)</f>
        <v>0.4285714286</v>
      </c>
      <c r="E15" s="87">
        <v>1.595777664E9</v>
      </c>
      <c r="F15" s="64">
        <f>IFERROR(__xludf.DUMMYFUNCTION("INDEX(SPLIT(E15, char(10)), 0, 1)/86400+date(1970,1,1)"),44038.648888888885)</f>
        <v>44038.64889</v>
      </c>
      <c r="G15" s="84" t="s">
        <v>840</v>
      </c>
      <c r="H15" s="84" t="s">
        <v>841</v>
      </c>
      <c r="I15" s="39" t="s">
        <v>17</v>
      </c>
    </row>
    <row r="16">
      <c r="A16" s="5" t="s">
        <v>7</v>
      </c>
      <c r="B16" s="5" t="s">
        <v>137</v>
      </c>
      <c r="C16" s="73">
        <f t="shared" si="5"/>
        <v>4</v>
      </c>
      <c r="D16" s="74">
        <f>IFERROR(__xludf.DUMMYFUNCTION("IF(C16, COUNTIF(FILTER($D$19:$D1000, $A$19:$A1000=A16), TRUE)/C16, 0)"),0.5)</f>
        <v>0.5</v>
      </c>
      <c r="E16" s="87">
        <v>1.595777768E9</v>
      </c>
      <c r="F16" s="64">
        <f>IFERROR(__xludf.DUMMYFUNCTION("INDEX(SPLIT(E16, char(10)), 0, 1)/86400+date(1970,1,1)"),44038.650092592594)</f>
        <v>44038.65009</v>
      </c>
      <c r="G16" s="84" t="s">
        <v>719</v>
      </c>
      <c r="H16" s="84" t="s">
        <v>720</v>
      </c>
      <c r="I16" s="39" t="s">
        <v>17</v>
      </c>
    </row>
    <row r="17">
      <c r="A17" s="5" t="s">
        <v>8</v>
      </c>
      <c r="B17" s="5" t="s">
        <v>79</v>
      </c>
      <c r="C17" s="73">
        <f t="shared" si="5"/>
        <v>9</v>
      </c>
      <c r="D17" s="74">
        <f>IFERROR(__xludf.DUMMYFUNCTION("IF(C17, COUNTIF(FILTER($D$19:$D1000, $A$19:$A1000=A17), TRUE)/C17, 0)"),0.4444444444444444)</f>
        <v>0.4444444444</v>
      </c>
      <c r="E17" s="87">
        <v>1.595778088E9</v>
      </c>
      <c r="F17" s="64">
        <f>IFERROR(__xludf.DUMMYFUNCTION("INDEX(SPLIT(E17, char(10)), 0, 1)/86400+date(1970,1,1)"),44038.6537962963)</f>
        <v>44038.6538</v>
      </c>
      <c r="G17" s="84" t="s">
        <v>842</v>
      </c>
      <c r="H17" s="84" t="s">
        <v>843</v>
      </c>
      <c r="I17" s="39" t="s">
        <v>17</v>
      </c>
    </row>
    <row r="18">
      <c r="A18" s="72"/>
      <c r="B18" s="70" t="s">
        <v>9</v>
      </c>
      <c r="C18" s="73">
        <f>SUM(C14:C17)</f>
        <v>23</v>
      </c>
      <c r="D18" s="74">
        <f>COUNTIF($D$19:$D1000, TRUE)/SUM($C$14:$C$17)</f>
        <v>0.4347826087</v>
      </c>
      <c r="E18" s="87">
        <v>1.595778206E9</v>
      </c>
      <c r="F18" s="64">
        <f>IFERROR(__xludf.DUMMYFUNCTION("INDEX(SPLIT(E18, char(10)), 0, 1)/86400+date(1970,1,1)"),44038.65516203704)</f>
        <v>44038.65516</v>
      </c>
      <c r="G18" s="84" t="s">
        <v>844</v>
      </c>
      <c r="H18" s="84" t="s">
        <v>845</v>
      </c>
      <c r="I18" s="39" t="s">
        <v>15</v>
      </c>
    </row>
    <row r="19">
      <c r="A19" s="75" t="s">
        <v>7</v>
      </c>
      <c r="B19" s="75" t="s">
        <v>149</v>
      </c>
      <c r="C19" s="76">
        <v>1.0</v>
      </c>
      <c r="D19" s="78" t="b">
        <v>0</v>
      </c>
      <c r="E19" s="87">
        <v>1.595778299E9</v>
      </c>
      <c r="F19" s="64">
        <f>IFERROR(__xludf.DUMMYFUNCTION("INDEX(SPLIT(E19, char(10)), 0, 1)/86400+date(1970,1,1)"),44038.65623842593)</f>
        <v>44038.65624</v>
      </c>
      <c r="G19" s="84" t="s">
        <v>846</v>
      </c>
      <c r="H19" s="84" t="s">
        <v>847</v>
      </c>
      <c r="I19" s="39" t="s">
        <v>17</v>
      </c>
    </row>
    <row r="20">
      <c r="A20" s="75" t="s">
        <v>6</v>
      </c>
      <c r="B20" s="75" t="s">
        <v>727</v>
      </c>
      <c r="C20" s="76">
        <v>9.0</v>
      </c>
      <c r="D20" s="78" t="b">
        <v>1</v>
      </c>
      <c r="E20" s="87">
        <v>1.595778426E9</v>
      </c>
      <c r="F20" s="64">
        <f>IFERROR(__xludf.DUMMYFUNCTION("INDEX(SPLIT(E20, char(10)), 0, 1)/86400+date(1970,1,1)"),44038.65770833333)</f>
        <v>44038.65771</v>
      </c>
      <c r="G20" s="84" t="s">
        <v>848</v>
      </c>
      <c r="H20" s="84" t="s">
        <v>849</v>
      </c>
      <c r="I20" s="39" t="s">
        <v>14</v>
      </c>
    </row>
    <row r="21">
      <c r="A21" s="75" t="s">
        <v>130</v>
      </c>
      <c r="B21" s="75" t="s">
        <v>730</v>
      </c>
      <c r="C21" s="76">
        <v>33.0</v>
      </c>
      <c r="D21" s="78" t="b">
        <v>0</v>
      </c>
      <c r="E21" s="87">
        <v>1.595778521E9</v>
      </c>
      <c r="F21" s="64">
        <f>IFERROR(__xludf.DUMMYFUNCTION("INDEX(SPLIT(E21, char(10)), 0, 1)/86400+date(1970,1,1)"),44038.65880787037)</f>
        <v>44038.65881</v>
      </c>
      <c r="G21" s="84" t="s">
        <v>850</v>
      </c>
      <c r="H21" s="84" t="s">
        <v>851</v>
      </c>
      <c r="I21" s="39" t="s">
        <v>14</v>
      </c>
    </row>
    <row r="22">
      <c r="A22" s="75" t="s">
        <v>7</v>
      </c>
      <c r="B22" s="75" t="s">
        <v>155</v>
      </c>
      <c r="C22" s="76">
        <v>45.0</v>
      </c>
      <c r="D22" s="78" t="b">
        <v>0</v>
      </c>
      <c r="E22" s="87">
        <v>1.595778653E9</v>
      </c>
      <c r="F22" s="64">
        <f>IFERROR(__xludf.DUMMYFUNCTION("INDEX(SPLIT(E22, char(10)), 0, 1)/86400+date(1970,1,1)"),44038.66033564815)</f>
        <v>44038.66034</v>
      </c>
      <c r="G22" s="84" t="s">
        <v>852</v>
      </c>
      <c r="H22" s="84" t="s">
        <v>853</v>
      </c>
      <c r="I22" s="39" t="s">
        <v>17</v>
      </c>
    </row>
    <row r="23">
      <c r="A23" s="75" t="s">
        <v>7</v>
      </c>
      <c r="B23" s="75" t="s">
        <v>158</v>
      </c>
      <c r="C23" s="76">
        <v>45.0</v>
      </c>
      <c r="D23" s="78" t="b">
        <v>1</v>
      </c>
      <c r="E23" s="87">
        <v>1.595778789E9</v>
      </c>
      <c r="F23" s="64">
        <f>IFERROR(__xludf.DUMMYFUNCTION("INDEX(SPLIT(E23, char(10)), 0, 1)/86400+date(1970,1,1)"),44038.66190972222)</f>
        <v>44038.66191</v>
      </c>
      <c r="G23" s="84" t="s">
        <v>854</v>
      </c>
      <c r="H23" s="84" t="s">
        <v>855</v>
      </c>
      <c r="I23" s="39" t="s">
        <v>15</v>
      </c>
    </row>
    <row r="24">
      <c r="A24" s="5" t="s">
        <v>8</v>
      </c>
      <c r="B24" s="5" t="s">
        <v>737</v>
      </c>
      <c r="C24" s="76">
        <v>58.0</v>
      </c>
      <c r="D24" s="78" t="b">
        <v>1</v>
      </c>
      <c r="E24" s="87">
        <v>1.595778941E9</v>
      </c>
      <c r="F24" s="64">
        <f>IFERROR(__xludf.DUMMYFUNCTION("INDEX(SPLIT(E24, char(10)), 0, 1)/86400+date(1970,1,1)"),44038.66366898148)</f>
        <v>44038.66367</v>
      </c>
      <c r="G24" s="84" t="s">
        <v>856</v>
      </c>
      <c r="H24" s="84" t="s">
        <v>857</v>
      </c>
      <c r="I24" s="39" t="s">
        <v>15</v>
      </c>
    </row>
    <row r="25">
      <c r="A25" s="75" t="s">
        <v>6</v>
      </c>
      <c r="B25" s="72" t="s">
        <v>740</v>
      </c>
      <c r="C25" s="76">
        <v>63.0</v>
      </c>
      <c r="D25" s="78" t="b">
        <v>1</v>
      </c>
      <c r="E25" s="87">
        <v>1.595779322E9</v>
      </c>
      <c r="F25" s="64">
        <f>IFERROR(__xludf.DUMMYFUNCTION("INDEX(SPLIT(E25, char(10)), 0, 1)/86400+date(1970,1,1)"),44038.668078703704)</f>
        <v>44038.66808</v>
      </c>
      <c r="G25" s="84" t="s">
        <v>858</v>
      </c>
      <c r="H25" s="84" t="s">
        <v>859</v>
      </c>
      <c r="I25" s="39" t="s">
        <v>16</v>
      </c>
    </row>
    <row r="26">
      <c r="A26" s="75" t="s">
        <v>6</v>
      </c>
      <c r="B26" s="72" t="s">
        <v>743</v>
      </c>
      <c r="C26" s="76">
        <v>69.0</v>
      </c>
      <c r="D26" s="78" t="b">
        <v>0</v>
      </c>
      <c r="E26" s="87">
        <v>1.595779528E9</v>
      </c>
      <c r="F26" s="64">
        <f>IFERROR(__xludf.DUMMYFUNCTION("INDEX(SPLIT(E26, char(10)), 0, 1)/86400+date(1970,1,1)"),44038.67046296297)</f>
        <v>44038.67046</v>
      </c>
      <c r="G26" s="84" t="s">
        <v>860</v>
      </c>
      <c r="H26" s="84" t="s">
        <v>861</v>
      </c>
      <c r="I26" s="39" t="s">
        <v>17</v>
      </c>
    </row>
    <row r="27">
      <c r="A27" s="75" t="s">
        <v>130</v>
      </c>
      <c r="B27" s="72" t="s">
        <v>746</v>
      </c>
      <c r="C27" s="76">
        <v>70.0</v>
      </c>
      <c r="D27" s="78" t="b">
        <v>0</v>
      </c>
      <c r="E27" s="87">
        <v>1.595779625E9</v>
      </c>
      <c r="F27" s="64">
        <f>IFERROR(__xludf.DUMMYFUNCTION("INDEX(SPLIT(E27, char(10)), 0, 1)/86400+date(1970,1,1)"),44038.671585648146)</f>
        <v>44038.67159</v>
      </c>
      <c r="G27" s="84" t="s">
        <v>862</v>
      </c>
      <c r="H27" s="84" t="s">
        <v>863</v>
      </c>
      <c r="I27" s="39" t="s">
        <v>17</v>
      </c>
    </row>
    <row r="28">
      <c r="A28" s="75" t="s">
        <v>8</v>
      </c>
      <c r="B28" s="72" t="s">
        <v>749</v>
      </c>
      <c r="C28" s="76">
        <v>73.0</v>
      </c>
      <c r="D28" s="78" t="b">
        <v>0</v>
      </c>
      <c r="E28" s="87">
        <v>1.595779886E9</v>
      </c>
      <c r="F28" s="64">
        <f>IFERROR(__xludf.DUMMYFUNCTION("INDEX(SPLIT(E28, char(10)), 0, 1)/86400+date(1970,1,1)"),44038.67460648148)</f>
        <v>44038.67461</v>
      </c>
      <c r="G28" s="84" t="s">
        <v>864</v>
      </c>
      <c r="H28" s="84" t="s">
        <v>865</v>
      </c>
      <c r="I28" s="39" t="s">
        <v>75</v>
      </c>
    </row>
    <row r="29">
      <c r="A29" s="75" t="s">
        <v>8</v>
      </c>
      <c r="B29" s="72" t="s">
        <v>752</v>
      </c>
      <c r="C29" s="76">
        <v>73.0</v>
      </c>
      <c r="D29" s="78" t="b">
        <v>1</v>
      </c>
      <c r="E29" s="87">
        <v>1.595779981E9</v>
      </c>
      <c r="F29" s="64">
        <f>IFERROR(__xludf.DUMMYFUNCTION("INDEX(SPLIT(E29, char(10)), 0, 1)/86400+date(1970,1,1)"),44038.67570601852)</f>
        <v>44038.67571</v>
      </c>
      <c r="G29" s="84" t="s">
        <v>866</v>
      </c>
      <c r="H29" s="84" t="s">
        <v>867</v>
      </c>
      <c r="I29" s="39" t="s">
        <v>16</v>
      </c>
    </row>
    <row r="30">
      <c r="A30" s="75" t="s">
        <v>8</v>
      </c>
      <c r="B30" s="72" t="s">
        <v>755</v>
      </c>
      <c r="C30" s="76">
        <v>73.0</v>
      </c>
      <c r="D30" s="78" t="b">
        <v>0</v>
      </c>
      <c r="E30" s="87">
        <v>1.595780261E9</v>
      </c>
      <c r="F30" s="64">
        <f>IFERROR(__xludf.DUMMYFUNCTION("INDEX(SPLIT(E30, char(10)), 0, 1)/86400+date(1970,1,1)"),44038.67894675926)</f>
        <v>44038.67895</v>
      </c>
      <c r="G30" s="84" t="s">
        <v>868</v>
      </c>
      <c r="H30" s="84" t="s">
        <v>869</v>
      </c>
      <c r="I30" s="39" t="s">
        <v>17</v>
      </c>
    </row>
    <row r="31">
      <c r="A31" s="75" t="s">
        <v>8</v>
      </c>
      <c r="B31" s="72" t="s">
        <v>758</v>
      </c>
      <c r="C31" s="76">
        <v>77.0</v>
      </c>
      <c r="D31" s="78" t="b">
        <v>1</v>
      </c>
      <c r="E31" s="87">
        <v>1.59578036E9</v>
      </c>
      <c r="F31" s="64">
        <f>IFERROR(__xludf.DUMMYFUNCTION("INDEX(SPLIT(E31, char(10)), 0, 1)/86400+date(1970,1,1)"),44038.68009259259)</f>
        <v>44038.68009</v>
      </c>
      <c r="G31" s="84" t="s">
        <v>870</v>
      </c>
      <c r="H31" s="84" t="s">
        <v>871</v>
      </c>
      <c r="I31" s="39" t="s">
        <v>17</v>
      </c>
    </row>
    <row r="32">
      <c r="A32" s="75" t="s">
        <v>6</v>
      </c>
      <c r="B32" s="72" t="s">
        <v>761</v>
      </c>
      <c r="C32" s="76">
        <v>83.0</v>
      </c>
      <c r="D32" s="78" t="b">
        <v>0</v>
      </c>
      <c r="E32" s="87">
        <v>1.595780452E9</v>
      </c>
      <c r="F32" s="64">
        <f>IFERROR(__xludf.DUMMYFUNCTION("INDEX(SPLIT(E32, char(10)), 0, 1)/86400+date(1970,1,1)"),44038.68115740741)</f>
        <v>44038.68116</v>
      </c>
      <c r="G32" s="84" t="s">
        <v>872</v>
      </c>
      <c r="H32" s="84" t="s">
        <v>873</v>
      </c>
      <c r="I32" s="39" t="s">
        <v>16</v>
      </c>
    </row>
    <row r="33">
      <c r="A33" s="75" t="s">
        <v>8</v>
      </c>
      <c r="B33" s="72" t="s">
        <v>764</v>
      </c>
      <c r="C33" s="76">
        <v>86.0</v>
      </c>
      <c r="D33" s="78" t="b">
        <v>0</v>
      </c>
      <c r="E33" s="87">
        <v>1.595780657E9</v>
      </c>
      <c r="F33" s="64">
        <f>IFERROR(__xludf.DUMMYFUNCTION("INDEX(SPLIT(E33, char(10)), 0, 1)/86400+date(1970,1,1)"),44038.68353009259)</f>
        <v>44038.68353</v>
      </c>
      <c r="G33" s="84" t="s">
        <v>874</v>
      </c>
      <c r="H33" s="84" t="s">
        <v>875</v>
      </c>
      <c r="I33" s="39" t="s">
        <v>14</v>
      </c>
    </row>
    <row r="34">
      <c r="A34" s="75" t="s">
        <v>8</v>
      </c>
      <c r="B34" s="72" t="s">
        <v>767</v>
      </c>
      <c r="C34" s="76">
        <v>88.0</v>
      </c>
      <c r="D34" s="78" t="b">
        <v>0</v>
      </c>
      <c r="E34" s="87">
        <v>1.595780758E9</v>
      </c>
      <c r="F34" s="64">
        <f>IFERROR(__xludf.DUMMYFUNCTION("INDEX(SPLIT(E34, char(10)), 0, 1)/86400+date(1970,1,1)"),44038.684699074074)</f>
        <v>44038.6847</v>
      </c>
      <c r="G34" s="84" t="s">
        <v>876</v>
      </c>
      <c r="H34" s="84" t="s">
        <v>877</v>
      </c>
      <c r="I34" s="39" t="s">
        <v>14</v>
      </c>
    </row>
    <row r="35">
      <c r="A35" s="75" t="s">
        <v>6</v>
      </c>
      <c r="B35" s="72" t="s">
        <v>770</v>
      </c>
      <c r="C35" s="76">
        <v>90.0</v>
      </c>
      <c r="D35" s="78" t="b">
        <v>0</v>
      </c>
      <c r="E35" s="87">
        <v>1.595780849E9</v>
      </c>
      <c r="F35" s="64">
        <f>IFERROR(__xludf.DUMMYFUNCTION("INDEX(SPLIT(E35, char(10)), 0, 1)/86400+date(1970,1,1)"),44038.685752314814)</f>
        <v>44038.68575</v>
      </c>
      <c r="G35" s="84" t="s">
        <v>878</v>
      </c>
      <c r="H35" s="84" t="s">
        <v>879</v>
      </c>
      <c r="I35" s="39" t="s">
        <v>17</v>
      </c>
    </row>
    <row r="36">
      <c r="A36" s="75" t="s">
        <v>6</v>
      </c>
      <c r="B36" s="72" t="s">
        <v>773</v>
      </c>
      <c r="C36" s="76">
        <v>92.0</v>
      </c>
      <c r="D36" s="78" t="b">
        <v>0</v>
      </c>
      <c r="E36" s="87">
        <v>1.59578094E9</v>
      </c>
      <c r="F36" s="64">
        <f>IFERROR(__xludf.DUMMYFUNCTION("INDEX(SPLIT(E36, char(10)), 0, 1)/86400+date(1970,1,1)"),44038.68680555555)</f>
        <v>44038.68681</v>
      </c>
      <c r="G36" s="84" t="s">
        <v>880</v>
      </c>
      <c r="H36" s="84" t="s">
        <v>881</v>
      </c>
      <c r="I36" s="39" t="s">
        <v>14</v>
      </c>
    </row>
    <row r="37">
      <c r="A37" s="75" t="s">
        <v>6</v>
      </c>
      <c r="B37" s="72" t="s">
        <v>776</v>
      </c>
      <c r="C37" s="76">
        <v>94.0</v>
      </c>
      <c r="D37" s="78" t="b">
        <v>1</v>
      </c>
      <c r="E37" s="87">
        <v>1.595781035E9</v>
      </c>
      <c r="F37" s="64">
        <f>IFERROR(__xludf.DUMMYFUNCTION("INDEX(SPLIT(E37, char(10)), 0, 1)/86400+date(1970,1,1)"),44038.68790509259)</f>
        <v>44038.68791</v>
      </c>
      <c r="G37" s="84" t="s">
        <v>882</v>
      </c>
      <c r="H37" s="84" t="s">
        <v>883</v>
      </c>
      <c r="I37" s="39" t="s">
        <v>16</v>
      </c>
    </row>
    <row r="38">
      <c r="A38" s="75" t="s">
        <v>8</v>
      </c>
      <c r="B38" s="72" t="s">
        <v>779</v>
      </c>
      <c r="C38" s="76">
        <v>97.0</v>
      </c>
      <c r="D38" s="78" t="b">
        <v>1</v>
      </c>
      <c r="E38" s="87">
        <v>1.59578113E9</v>
      </c>
      <c r="F38" s="64">
        <f>IFERROR(__xludf.DUMMYFUNCTION("INDEX(SPLIT(E38, char(10)), 0, 1)/86400+date(1970,1,1)"),44038.68900462963)</f>
        <v>44038.689</v>
      </c>
      <c r="G38" s="84" t="s">
        <v>884</v>
      </c>
      <c r="H38" s="84" t="s">
        <v>885</v>
      </c>
      <c r="I38" s="39" t="s">
        <v>14</v>
      </c>
    </row>
    <row r="39">
      <c r="A39" s="75" t="s">
        <v>8</v>
      </c>
      <c r="B39" s="72" t="s">
        <v>782</v>
      </c>
      <c r="C39" s="76">
        <v>97.0</v>
      </c>
      <c r="D39" s="78" t="b">
        <v>0</v>
      </c>
      <c r="E39" s="87">
        <v>1.59578122E9</v>
      </c>
      <c r="F39" s="64">
        <f>IFERROR(__xludf.DUMMYFUNCTION("INDEX(SPLIT(E39, char(10)), 0, 1)/86400+date(1970,1,1)"),44038.690046296295)</f>
        <v>44038.69005</v>
      </c>
      <c r="G39" s="84" t="s">
        <v>886</v>
      </c>
      <c r="H39" s="84" t="s">
        <v>887</v>
      </c>
      <c r="I39" s="39" t="s">
        <v>16</v>
      </c>
    </row>
    <row r="40">
      <c r="A40" s="75" t="s">
        <v>130</v>
      </c>
      <c r="B40" s="72" t="s">
        <v>785</v>
      </c>
      <c r="C40" s="76">
        <v>98.0</v>
      </c>
      <c r="D40" s="78" t="b">
        <v>1</v>
      </c>
      <c r="E40" s="87">
        <v>1.595781329E9</v>
      </c>
      <c r="F40" s="64">
        <f>IFERROR(__xludf.DUMMYFUNCTION("INDEX(SPLIT(E40, char(10)), 0, 1)/86400+date(1970,1,1)"),44038.691307870366)</f>
        <v>44038.69131</v>
      </c>
      <c r="G40" s="84" t="s">
        <v>888</v>
      </c>
      <c r="H40" s="84" t="s">
        <v>889</v>
      </c>
      <c r="I40" s="39" t="s">
        <v>75</v>
      </c>
    </row>
    <row r="41">
      <c r="A41" s="75" t="s">
        <v>7</v>
      </c>
      <c r="B41" s="72" t="s">
        <v>183</v>
      </c>
      <c r="C41" s="76">
        <v>90.0</v>
      </c>
      <c r="D41" s="78" t="b">
        <v>1</v>
      </c>
      <c r="E41" s="87">
        <v>1.595781433E9</v>
      </c>
      <c r="F41" s="64">
        <f>IFERROR(__xludf.DUMMYFUNCTION("INDEX(SPLIT(E41, char(10)), 0, 1)/86400+date(1970,1,1)"),44038.692511574074)</f>
        <v>44038.69251</v>
      </c>
      <c r="G41" s="84" t="s">
        <v>890</v>
      </c>
      <c r="H41" s="84" t="s">
        <v>795</v>
      </c>
      <c r="I41" s="39" t="s">
        <v>15</v>
      </c>
    </row>
    <row r="42">
      <c r="A42" s="75"/>
      <c r="B42" s="72"/>
      <c r="C42" s="76"/>
      <c r="D42" s="78"/>
      <c r="E42" s="87">
        <v>1.595781664E9</v>
      </c>
      <c r="F42" s="64">
        <f>IFERROR(__xludf.DUMMYFUNCTION("INDEX(SPLIT(E42, char(10)), 0, 1)/86400+date(1970,1,1)"),44038.695185185185)</f>
        <v>44038.69519</v>
      </c>
      <c r="G42" s="84" t="s">
        <v>891</v>
      </c>
      <c r="H42" s="84" t="s">
        <v>892</v>
      </c>
      <c r="I42" s="39" t="s">
        <v>17</v>
      </c>
    </row>
    <row r="43">
      <c r="A43" s="69"/>
      <c r="B43" s="69"/>
      <c r="C43" s="69"/>
      <c r="D43" s="69"/>
      <c r="E43" s="87">
        <v>1.595781764E9</v>
      </c>
      <c r="F43" s="64">
        <f>IFERROR(__xludf.DUMMYFUNCTION("INDEX(SPLIT(E43, char(10)), 0, 1)/86400+date(1970,1,1)"),44038.69634259259)</f>
        <v>44038.69634</v>
      </c>
      <c r="G43" s="84" t="s">
        <v>893</v>
      </c>
      <c r="H43" s="84" t="s">
        <v>894</v>
      </c>
      <c r="I43" s="39" t="s">
        <v>17</v>
      </c>
    </row>
    <row r="44">
      <c r="D44" s="69"/>
      <c r="E44" s="87">
        <v>1.595781882E9</v>
      </c>
      <c r="F44" s="64">
        <f>IFERROR(__xludf.DUMMYFUNCTION("INDEX(SPLIT(E44, char(10)), 0, 1)/86400+date(1970,1,1)"),44038.69770833333)</f>
        <v>44038.69771</v>
      </c>
      <c r="G44" s="84" t="s">
        <v>895</v>
      </c>
      <c r="H44" s="84" t="s">
        <v>896</v>
      </c>
      <c r="I44" s="39" t="s">
        <v>14</v>
      </c>
    </row>
    <row r="45">
      <c r="E45" s="87">
        <v>1.595782251E9</v>
      </c>
      <c r="F45" s="64">
        <f>IFERROR(__xludf.DUMMYFUNCTION("INDEX(SPLIT(E45, char(10)), 0, 1)/86400+date(1970,1,1)"),44038.70197916667)</f>
        <v>44038.70198</v>
      </c>
      <c r="G45" s="84" t="s">
        <v>897</v>
      </c>
      <c r="H45" s="84" t="s">
        <v>898</v>
      </c>
      <c r="I45" s="39" t="s">
        <v>15</v>
      </c>
    </row>
    <row r="46">
      <c r="E46" s="87">
        <v>1.595782348E9</v>
      </c>
      <c r="F46" s="64">
        <f>IFERROR(__xludf.DUMMYFUNCTION("INDEX(SPLIT(E46, char(10)), 0, 1)/86400+date(1970,1,1)"),44038.70310185185)</f>
        <v>44038.7031</v>
      </c>
      <c r="G46" s="84" t="s">
        <v>899</v>
      </c>
      <c r="H46" s="84" t="s">
        <v>900</v>
      </c>
      <c r="I46" s="39" t="s">
        <v>16</v>
      </c>
    </row>
    <row r="47">
      <c r="E47" s="87">
        <v>1.595782447E9</v>
      </c>
      <c r="F47" s="64">
        <f>IFERROR(__xludf.DUMMYFUNCTION("INDEX(SPLIT(E47, char(10)), 0, 1)/86400+date(1970,1,1)"),44038.704247685186)</f>
        <v>44038.70425</v>
      </c>
      <c r="G47" s="84" t="s">
        <v>901</v>
      </c>
      <c r="H47" s="84" t="s">
        <v>902</v>
      </c>
      <c r="I47" s="39" t="s">
        <v>16</v>
      </c>
    </row>
    <row r="48">
      <c r="E48" s="87">
        <v>1.595782549E9</v>
      </c>
      <c r="F48" s="64">
        <f>IFERROR(__xludf.DUMMYFUNCTION("INDEX(SPLIT(E48, char(10)), 0, 1)/86400+date(1970,1,1)"),44038.70542824074)</f>
        <v>44038.70543</v>
      </c>
      <c r="G48" s="84" t="s">
        <v>903</v>
      </c>
      <c r="H48" s="84" t="s">
        <v>904</v>
      </c>
      <c r="I48" s="39" t="s">
        <v>16</v>
      </c>
    </row>
    <row r="49">
      <c r="E49" s="87">
        <v>1.595782641E9</v>
      </c>
      <c r="F49" s="64">
        <f>IFERROR(__xludf.DUMMYFUNCTION("INDEX(SPLIT(E49, char(10)), 0, 1)/86400+date(1970,1,1)"),44038.70649305556)</f>
        <v>44038.70649</v>
      </c>
      <c r="G49" s="84" t="s">
        <v>905</v>
      </c>
      <c r="H49" s="84" t="s">
        <v>906</v>
      </c>
      <c r="I49" s="39" t="s">
        <v>17</v>
      </c>
    </row>
    <row r="50">
      <c r="E50" s="39">
        <v>1.59578275E9</v>
      </c>
      <c r="F50" s="64">
        <f>IFERROR(__xludf.DUMMYFUNCTION("INDEX(SPLIT(E50, char(10)), 0, 1)/86400+date(1970,1,1)"),44038.707754629635)</f>
        <v>44038.70775</v>
      </c>
      <c r="G50" s="84" t="s">
        <v>907</v>
      </c>
      <c r="H50" s="84" t="s">
        <v>908</v>
      </c>
      <c r="I50" s="39" t="s">
        <v>16</v>
      </c>
    </row>
    <row r="51">
      <c r="F51" s="80"/>
      <c r="G51" s="84"/>
      <c r="H51" s="84"/>
      <c r="I51" s="40"/>
    </row>
    <row r="52">
      <c r="F52" s="80"/>
      <c r="G52" s="84"/>
      <c r="H52" s="84"/>
    </row>
    <row r="53">
      <c r="F53" s="80"/>
      <c r="G53" s="84"/>
      <c r="H53" s="84"/>
    </row>
    <row r="54">
      <c r="F54" s="80"/>
      <c r="G54" s="84"/>
      <c r="H54" s="84"/>
    </row>
    <row r="55">
      <c r="F55" s="64"/>
      <c r="G55" s="83"/>
      <c r="H55" s="84"/>
    </row>
    <row r="56">
      <c r="F56" s="64"/>
      <c r="G56" s="83"/>
      <c r="H56" s="84"/>
    </row>
    <row r="57">
      <c r="F57" s="64"/>
      <c r="G57" s="83"/>
      <c r="H57" s="84"/>
    </row>
    <row r="58">
      <c r="F58" s="64"/>
      <c r="G58" s="83"/>
      <c r="H58" s="84"/>
    </row>
    <row r="59">
      <c r="F59" s="64"/>
      <c r="G59" s="83"/>
      <c r="H59" s="84"/>
    </row>
    <row r="60">
      <c r="F60" s="64"/>
      <c r="G60" s="83"/>
      <c r="H60" s="84"/>
    </row>
    <row r="61">
      <c r="F61" s="64"/>
      <c r="G61" s="83"/>
      <c r="H61" s="84"/>
    </row>
    <row r="62">
      <c r="F62" s="64"/>
      <c r="G62" s="83"/>
      <c r="H62" s="84"/>
    </row>
    <row r="63">
      <c r="F63" s="64"/>
      <c r="G63" s="83"/>
      <c r="H63" s="84"/>
    </row>
    <row r="64">
      <c r="F64" s="64"/>
      <c r="G64" s="83"/>
      <c r="H64" s="84"/>
    </row>
    <row r="65">
      <c r="F65" s="64"/>
      <c r="G65" s="83"/>
      <c r="H65" s="84"/>
    </row>
    <row r="66">
      <c r="F66" s="64"/>
      <c r="G66" s="83"/>
      <c r="H66" s="84"/>
    </row>
    <row r="67">
      <c r="F67" s="64"/>
      <c r="G67" s="83"/>
      <c r="H67" s="84"/>
    </row>
    <row r="68">
      <c r="F68" s="64"/>
      <c r="G68" s="83"/>
      <c r="H68" s="84"/>
    </row>
    <row r="69">
      <c r="F69" s="64"/>
      <c r="G69" s="83"/>
      <c r="H69" s="84"/>
    </row>
    <row r="70">
      <c r="F70" s="64"/>
      <c r="G70" s="83"/>
      <c r="H70" s="84"/>
    </row>
    <row r="71">
      <c r="F71" s="64"/>
      <c r="G71" s="83"/>
      <c r="H71" s="84"/>
    </row>
    <row r="72">
      <c r="F72" s="64"/>
      <c r="G72" s="83"/>
      <c r="H72" s="84"/>
    </row>
    <row r="73">
      <c r="F73" s="64"/>
      <c r="G73" s="83"/>
      <c r="H73" s="84"/>
    </row>
    <row r="74">
      <c r="F74" s="64"/>
      <c r="G74" s="83"/>
      <c r="H74" s="84"/>
    </row>
    <row r="75">
      <c r="F75" s="64"/>
      <c r="G75" s="83"/>
      <c r="H75" s="84"/>
    </row>
    <row r="76">
      <c r="F76" s="64"/>
      <c r="G76" s="83"/>
      <c r="H76" s="84"/>
    </row>
    <row r="77">
      <c r="F77" s="64"/>
      <c r="G77" s="83"/>
      <c r="H77" s="84"/>
    </row>
    <row r="78">
      <c r="F78" s="64"/>
      <c r="G78" s="83"/>
      <c r="H78" s="84"/>
    </row>
    <row r="79">
      <c r="F79" s="64"/>
      <c r="G79" s="83"/>
      <c r="H79" s="84"/>
    </row>
    <row r="80">
      <c r="F80" s="64"/>
      <c r="G80" s="83"/>
      <c r="H80" s="84"/>
    </row>
    <row r="81">
      <c r="F81" s="64"/>
      <c r="G81" s="83"/>
      <c r="H81" s="84"/>
    </row>
    <row r="82">
      <c r="F82" s="64"/>
      <c r="G82" s="83"/>
      <c r="H82" s="84"/>
    </row>
    <row r="83">
      <c r="F83" s="64"/>
      <c r="G83" s="83"/>
      <c r="H83" s="84"/>
    </row>
    <row r="84">
      <c r="F84" s="64"/>
      <c r="G84" s="83"/>
      <c r="H84" s="84"/>
    </row>
    <row r="85">
      <c r="F85" s="64"/>
      <c r="G85" s="83"/>
      <c r="H85" s="84"/>
    </row>
    <row r="86">
      <c r="F86" s="64"/>
      <c r="G86" s="83"/>
      <c r="H86" s="84"/>
    </row>
    <row r="87">
      <c r="F87" s="64"/>
      <c r="G87" s="83"/>
      <c r="H87" s="84"/>
    </row>
    <row r="88">
      <c r="F88" s="64"/>
      <c r="G88" s="83"/>
      <c r="H88" s="84"/>
    </row>
    <row r="89">
      <c r="F89" s="64"/>
      <c r="G89" s="83"/>
      <c r="H89" s="84"/>
    </row>
    <row r="90">
      <c r="F90" s="64"/>
      <c r="G90" s="83"/>
      <c r="H90" s="84"/>
    </row>
    <row r="91">
      <c r="F91" s="64"/>
      <c r="G91" s="83"/>
      <c r="H91" s="84"/>
    </row>
    <row r="92">
      <c r="F92" s="64"/>
      <c r="G92" s="83"/>
      <c r="H92" s="84"/>
    </row>
    <row r="93">
      <c r="F93" s="64"/>
      <c r="G93" s="83"/>
      <c r="H93" s="84"/>
    </row>
    <row r="94">
      <c r="F94" s="64"/>
      <c r="G94" s="83"/>
      <c r="H94" s="84"/>
    </row>
    <row r="95">
      <c r="F95" s="64"/>
      <c r="G95" s="83"/>
      <c r="H95" s="84"/>
    </row>
    <row r="96">
      <c r="F96" s="64"/>
      <c r="G96" s="83"/>
      <c r="H96" s="84"/>
    </row>
    <row r="97">
      <c r="F97" s="64"/>
      <c r="G97" s="83"/>
      <c r="H97" s="84"/>
    </row>
    <row r="98">
      <c r="F98" s="64"/>
      <c r="G98" s="83"/>
      <c r="H98" s="84"/>
    </row>
    <row r="99">
      <c r="F99" s="64"/>
      <c r="G99" s="83"/>
      <c r="H99" s="84"/>
    </row>
    <row r="100">
      <c r="F100" s="64"/>
      <c r="G100" s="83"/>
      <c r="H100" s="84"/>
    </row>
    <row r="101">
      <c r="F101" s="64"/>
      <c r="G101" s="83"/>
      <c r="H101" s="84"/>
    </row>
    <row r="102">
      <c r="F102" s="64"/>
      <c r="G102" s="83"/>
      <c r="H102" s="84"/>
    </row>
    <row r="103">
      <c r="F103" s="64"/>
      <c r="G103" s="83"/>
      <c r="H103" s="84"/>
    </row>
    <row r="104">
      <c r="F104" s="64"/>
      <c r="G104" s="83"/>
      <c r="H104" s="84"/>
    </row>
    <row r="105">
      <c r="F105" s="64"/>
      <c r="G105" s="83"/>
      <c r="H105" s="84"/>
    </row>
    <row r="106">
      <c r="F106" s="64"/>
      <c r="G106" s="83"/>
      <c r="H106" s="84"/>
    </row>
    <row r="107">
      <c r="F107" s="64"/>
      <c r="G107" s="83"/>
      <c r="H107" s="84"/>
    </row>
    <row r="108">
      <c r="F108" s="64"/>
      <c r="G108" s="83"/>
      <c r="H108" s="84"/>
    </row>
    <row r="109">
      <c r="F109" s="64"/>
      <c r="G109" s="83"/>
      <c r="H109" s="84"/>
    </row>
    <row r="110">
      <c r="F110" s="64"/>
      <c r="G110" s="83"/>
      <c r="H110" s="84"/>
    </row>
    <row r="111">
      <c r="F111" s="64"/>
      <c r="G111" s="83"/>
      <c r="H111" s="84"/>
    </row>
    <row r="112">
      <c r="F112" s="64"/>
      <c r="G112" s="83"/>
      <c r="H112" s="84"/>
    </row>
    <row r="113">
      <c r="F113" s="64"/>
      <c r="G113" s="83"/>
      <c r="H113" s="84"/>
    </row>
    <row r="114">
      <c r="F114" s="64"/>
      <c r="G114" s="83"/>
      <c r="H114" s="84"/>
    </row>
    <row r="115">
      <c r="F115" s="64"/>
      <c r="G115" s="83"/>
      <c r="H115" s="84"/>
    </row>
    <row r="116">
      <c r="F116" s="64"/>
      <c r="G116" s="83"/>
      <c r="H116" s="84"/>
    </row>
    <row r="117">
      <c r="F117" s="64"/>
      <c r="G117" s="83"/>
      <c r="H117" s="84"/>
    </row>
    <row r="118">
      <c r="F118" s="64"/>
      <c r="G118" s="83"/>
      <c r="H118" s="84"/>
    </row>
    <row r="119">
      <c r="F119" s="64"/>
      <c r="G119" s="83"/>
      <c r="H119" s="84"/>
    </row>
    <row r="120">
      <c r="F120" s="64"/>
      <c r="G120" s="83"/>
      <c r="H120" s="84"/>
    </row>
    <row r="121">
      <c r="F121" s="64"/>
      <c r="G121" s="83"/>
      <c r="H121" s="84"/>
    </row>
    <row r="122">
      <c r="F122" s="64"/>
      <c r="G122" s="83"/>
      <c r="H122" s="84"/>
    </row>
    <row r="123">
      <c r="F123" s="64"/>
      <c r="G123" s="83"/>
      <c r="H123" s="84"/>
    </row>
    <row r="124">
      <c r="F124" s="64"/>
      <c r="G124" s="83"/>
      <c r="H124" s="84"/>
    </row>
    <row r="125">
      <c r="F125" s="64"/>
      <c r="G125" s="83"/>
      <c r="H125" s="84"/>
    </row>
    <row r="126">
      <c r="F126" s="64"/>
      <c r="G126" s="83"/>
      <c r="H126" s="84"/>
    </row>
    <row r="127">
      <c r="F127" s="64"/>
      <c r="G127" s="83"/>
      <c r="H127" s="84"/>
    </row>
    <row r="128">
      <c r="F128" s="64"/>
      <c r="G128" s="83"/>
      <c r="H128" s="84"/>
    </row>
    <row r="129">
      <c r="F129" s="64"/>
      <c r="G129" s="83"/>
      <c r="H129" s="84"/>
    </row>
    <row r="130">
      <c r="F130" s="64"/>
      <c r="G130" s="83"/>
      <c r="H130" s="84"/>
    </row>
    <row r="131">
      <c r="F131" s="64"/>
      <c r="G131" s="83"/>
      <c r="H131" s="84"/>
    </row>
    <row r="132">
      <c r="F132" s="64"/>
      <c r="G132" s="83"/>
      <c r="H132" s="84"/>
    </row>
    <row r="133">
      <c r="F133" s="64"/>
      <c r="G133" s="83"/>
      <c r="H133" s="84"/>
    </row>
    <row r="134">
      <c r="F134" s="64"/>
      <c r="G134" s="83"/>
      <c r="H134" s="84"/>
    </row>
    <row r="135">
      <c r="F135" s="64"/>
      <c r="G135" s="83"/>
      <c r="H135" s="84"/>
    </row>
    <row r="136">
      <c r="F136" s="64"/>
      <c r="G136" s="83"/>
      <c r="H136" s="84"/>
    </row>
    <row r="137">
      <c r="F137" s="64"/>
      <c r="G137" s="83"/>
      <c r="H137" s="84"/>
    </row>
    <row r="138">
      <c r="F138" s="64"/>
      <c r="G138" s="83"/>
      <c r="H138" s="84"/>
    </row>
    <row r="139">
      <c r="F139" s="64"/>
      <c r="G139" s="83"/>
      <c r="H139" s="84"/>
    </row>
    <row r="140">
      <c r="F140" s="64"/>
      <c r="G140" s="83"/>
      <c r="H140" s="84"/>
    </row>
    <row r="141">
      <c r="F141" s="64"/>
      <c r="G141" s="83"/>
      <c r="H141" s="84"/>
    </row>
    <row r="142">
      <c r="F142" s="64"/>
      <c r="G142" s="83"/>
      <c r="H142" s="84"/>
    </row>
    <row r="143">
      <c r="F143" s="64"/>
      <c r="G143" s="83"/>
      <c r="H143" s="84"/>
    </row>
    <row r="144">
      <c r="F144" s="64"/>
      <c r="G144" s="83"/>
      <c r="H144" s="84"/>
    </row>
    <row r="145">
      <c r="F145" s="64"/>
      <c r="G145" s="83"/>
      <c r="H145" s="84"/>
    </row>
    <row r="146">
      <c r="F146" s="64"/>
      <c r="G146" s="83"/>
      <c r="H146" s="84"/>
    </row>
    <row r="147">
      <c r="F147" s="64"/>
      <c r="G147" s="83"/>
      <c r="H147" s="84"/>
    </row>
    <row r="148">
      <c r="F148" s="64"/>
      <c r="G148" s="83"/>
      <c r="H148" s="84"/>
    </row>
    <row r="149">
      <c r="F149" s="64"/>
      <c r="G149" s="83"/>
      <c r="H149" s="84"/>
    </row>
    <row r="150">
      <c r="F150" s="64"/>
      <c r="G150" s="83"/>
      <c r="H150" s="84"/>
    </row>
    <row r="151">
      <c r="F151" s="64"/>
      <c r="G151" s="83"/>
      <c r="H151" s="84"/>
    </row>
    <row r="152">
      <c r="F152" s="64"/>
      <c r="G152" s="83"/>
      <c r="H152" s="84"/>
    </row>
    <row r="153">
      <c r="F153" s="64"/>
      <c r="G153" s="83"/>
      <c r="H153" s="84"/>
    </row>
    <row r="154">
      <c r="F154" s="64"/>
      <c r="G154" s="83"/>
      <c r="H154" s="84"/>
    </row>
    <row r="155">
      <c r="F155" s="64"/>
      <c r="G155" s="83"/>
      <c r="H155" s="84"/>
    </row>
    <row r="156">
      <c r="F156" s="64"/>
      <c r="G156" s="83"/>
      <c r="H156" s="84"/>
    </row>
    <row r="157">
      <c r="F157" s="64"/>
      <c r="G157" s="83"/>
      <c r="H157" s="84"/>
    </row>
    <row r="158">
      <c r="F158" s="64"/>
      <c r="G158" s="83"/>
      <c r="H158" s="84"/>
    </row>
    <row r="159">
      <c r="F159" s="64"/>
      <c r="G159" s="83"/>
      <c r="H159" s="84"/>
    </row>
    <row r="160">
      <c r="F160" s="64"/>
      <c r="G160" s="83"/>
      <c r="H160" s="84"/>
    </row>
    <row r="161">
      <c r="F161" s="64"/>
      <c r="G161" s="83"/>
      <c r="H161" s="84"/>
    </row>
    <row r="162">
      <c r="F162" s="64"/>
      <c r="G162" s="83"/>
      <c r="H162" s="84"/>
    </row>
    <row r="163">
      <c r="F163" s="64"/>
      <c r="G163" s="83"/>
      <c r="H163" s="84"/>
    </row>
    <row r="164">
      <c r="F164" s="64"/>
      <c r="G164" s="83"/>
      <c r="H164" s="84"/>
    </row>
    <row r="165">
      <c r="F165" s="64"/>
      <c r="G165" s="83"/>
      <c r="H165" s="84"/>
    </row>
    <row r="166">
      <c r="F166" s="64"/>
      <c r="G166" s="83"/>
      <c r="H166" s="84"/>
    </row>
    <row r="167">
      <c r="F167" s="64"/>
      <c r="G167" s="83"/>
      <c r="H167" s="84"/>
    </row>
    <row r="168">
      <c r="F168" s="64"/>
      <c r="G168" s="83"/>
      <c r="H168" s="84"/>
    </row>
    <row r="169">
      <c r="F169" s="64"/>
      <c r="G169" s="83"/>
      <c r="H169" s="84"/>
    </row>
    <row r="170">
      <c r="F170" s="64"/>
      <c r="G170" s="83"/>
      <c r="H170" s="84"/>
    </row>
    <row r="171">
      <c r="F171" s="64"/>
      <c r="G171" s="83"/>
      <c r="H171" s="84"/>
    </row>
    <row r="172">
      <c r="F172" s="64"/>
      <c r="G172" s="83"/>
      <c r="H172" s="84"/>
    </row>
    <row r="173">
      <c r="F173" s="64"/>
      <c r="G173" s="83"/>
      <c r="H173" s="84"/>
    </row>
    <row r="174">
      <c r="F174" s="64"/>
      <c r="G174" s="83"/>
      <c r="H174" s="84"/>
    </row>
    <row r="175">
      <c r="F175" s="64"/>
      <c r="G175" s="83"/>
      <c r="H175" s="84"/>
    </row>
    <row r="176">
      <c r="F176" s="64"/>
      <c r="G176" s="83"/>
      <c r="H176" s="84"/>
    </row>
    <row r="177">
      <c r="F177" s="64"/>
      <c r="G177" s="83"/>
      <c r="H177" s="84"/>
    </row>
    <row r="178">
      <c r="F178" s="64"/>
      <c r="G178" s="83"/>
      <c r="H178" s="84"/>
    </row>
    <row r="179">
      <c r="F179" s="64"/>
      <c r="G179" s="83"/>
      <c r="H179" s="84"/>
    </row>
    <row r="180">
      <c r="F180" s="64"/>
      <c r="G180" s="83"/>
      <c r="H180" s="84"/>
    </row>
    <row r="181">
      <c r="F181" s="64"/>
      <c r="G181" s="83"/>
      <c r="H181" s="84"/>
    </row>
    <row r="182">
      <c r="F182" s="64"/>
      <c r="G182" s="83"/>
      <c r="H182" s="84"/>
    </row>
    <row r="183">
      <c r="F183" s="64"/>
      <c r="G183" s="83"/>
      <c r="H183" s="84"/>
    </row>
    <row r="184">
      <c r="F184" s="64"/>
      <c r="G184" s="83"/>
      <c r="H184" s="84"/>
    </row>
    <row r="185">
      <c r="F185" s="64"/>
      <c r="G185" s="83"/>
      <c r="H185" s="84"/>
    </row>
    <row r="186">
      <c r="F186" s="64"/>
      <c r="G186" s="83"/>
      <c r="H186" s="84"/>
    </row>
    <row r="187">
      <c r="F187" s="64"/>
      <c r="G187" s="83"/>
      <c r="H187" s="84"/>
    </row>
    <row r="188">
      <c r="F188" s="64"/>
      <c r="G188" s="83"/>
      <c r="H188" s="84"/>
    </row>
    <row r="189">
      <c r="F189" s="64"/>
      <c r="G189" s="83"/>
      <c r="H189" s="84"/>
    </row>
    <row r="190">
      <c r="F190" s="64"/>
      <c r="G190" s="83"/>
      <c r="H190" s="84"/>
    </row>
    <row r="191">
      <c r="F191" s="64"/>
      <c r="G191" s="83"/>
      <c r="H191" s="84"/>
    </row>
    <row r="192">
      <c r="F192" s="64"/>
      <c r="G192" s="83"/>
      <c r="H192" s="84"/>
    </row>
    <row r="193">
      <c r="F193" s="64"/>
      <c r="G193" s="83"/>
      <c r="H193" s="84"/>
    </row>
    <row r="194">
      <c r="F194" s="64"/>
      <c r="G194" s="83"/>
      <c r="H194" s="84"/>
    </row>
    <row r="195">
      <c r="F195" s="64"/>
      <c r="G195" s="83"/>
      <c r="H195" s="84"/>
    </row>
    <row r="196">
      <c r="F196" s="64"/>
      <c r="G196" s="83"/>
      <c r="H196" s="84"/>
    </row>
    <row r="197">
      <c r="F197" s="64"/>
      <c r="G197" s="83"/>
      <c r="H197" s="84"/>
    </row>
    <row r="198">
      <c r="F198" s="64"/>
      <c r="G198" s="83"/>
      <c r="H198" s="84"/>
    </row>
    <row r="199">
      <c r="F199" s="64"/>
      <c r="G199" s="83"/>
      <c r="H199" s="84"/>
    </row>
    <row r="200">
      <c r="F200" s="64"/>
      <c r="G200" s="83"/>
      <c r="H200" s="84"/>
    </row>
    <row r="201">
      <c r="F201" s="64"/>
      <c r="G201" s="83"/>
      <c r="H201" s="84"/>
    </row>
    <row r="202">
      <c r="F202" s="64"/>
      <c r="G202" s="83"/>
      <c r="H202" s="84"/>
    </row>
    <row r="203">
      <c r="F203" s="64"/>
      <c r="G203" s="83"/>
      <c r="H203" s="84"/>
    </row>
    <row r="204">
      <c r="F204" s="64"/>
      <c r="G204" s="83"/>
      <c r="H204" s="84"/>
    </row>
    <row r="205">
      <c r="F205" s="64"/>
      <c r="G205" s="83"/>
      <c r="H205" s="84"/>
    </row>
    <row r="206">
      <c r="F206" s="64"/>
      <c r="G206" s="83"/>
      <c r="H206" s="84"/>
    </row>
    <row r="207">
      <c r="F207" s="64"/>
      <c r="G207" s="83"/>
      <c r="H207" s="84"/>
    </row>
    <row r="208">
      <c r="F208" s="64"/>
      <c r="G208" s="83"/>
      <c r="H208" s="84"/>
    </row>
    <row r="209">
      <c r="F209" s="64"/>
      <c r="G209" s="83"/>
      <c r="H209" s="84"/>
    </row>
    <row r="210">
      <c r="F210" s="64"/>
      <c r="G210" s="83"/>
      <c r="H210" s="84"/>
    </row>
    <row r="211">
      <c r="F211" s="64"/>
      <c r="G211" s="83"/>
      <c r="H211" s="84"/>
    </row>
    <row r="212">
      <c r="F212" s="64"/>
      <c r="G212" s="83"/>
      <c r="H212" s="84"/>
    </row>
    <row r="213">
      <c r="F213" s="64"/>
      <c r="G213" s="83"/>
      <c r="H213" s="84"/>
    </row>
    <row r="214">
      <c r="F214" s="64"/>
      <c r="G214" s="83"/>
      <c r="H214" s="84"/>
    </row>
    <row r="215">
      <c r="F215" s="64"/>
      <c r="G215" s="83"/>
      <c r="H215" s="84"/>
    </row>
    <row r="216">
      <c r="F216" s="64"/>
      <c r="G216" s="83"/>
      <c r="H216" s="84"/>
    </row>
    <row r="217">
      <c r="F217" s="64"/>
      <c r="G217" s="83"/>
      <c r="H217" s="84"/>
    </row>
    <row r="218">
      <c r="F218" s="64"/>
      <c r="G218" s="83"/>
      <c r="H218" s="84"/>
    </row>
    <row r="219">
      <c r="F219" s="64"/>
      <c r="G219" s="83"/>
      <c r="H219" s="84"/>
    </row>
    <row r="220">
      <c r="F220" s="64"/>
      <c r="G220" s="83"/>
      <c r="H220" s="84"/>
    </row>
    <row r="221">
      <c r="F221" s="64"/>
      <c r="G221" s="83"/>
      <c r="H221" s="84"/>
    </row>
    <row r="222">
      <c r="F222" s="64"/>
      <c r="G222" s="83"/>
      <c r="H222" s="84"/>
    </row>
    <row r="223">
      <c r="F223" s="64"/>
      <c r="G223" s="83"/>
      <c r="H223" s="84"/>
    </row>
    <row r="224">
      <c r="F224" s="64"/>
      <c r="G224" s="83"/>
      <c r="H224" s="84"/>
    </row>
    <row r="225">
      <c r="F225" s="64"/>
      <c r="G225" s="83"/>
      <c r="H225" s="84"/>
    </row>
    <row r="226">
      <c r="F226" s="64"/>
      <c r="G226" s="83"/>
      <c r="H226" s="84"/>
    </row>
    <row r="227">
      <c r="F227" s="64"/>
      <c r="G227" s="83"/>
      <c r="H227" s="84"/>
    </row>
    <row r="228">
      <c r="F228" s="64"/>
      <c r="G228" s="83"/>
      <c r="H228" s="84"/>
    </row>
    <row r="229">
      <c r="F229" s="64"/>
      <c r="G229" s="83"/>
      <c r="H229" s="84"/>
    </row>
    <row r="230">
      <c r="F230" s="64"/>
      <c r="G230" s="83"/>
      <c r="H230" s="84"/>
    </row>
    <row r="231">
      <c r="F231" s="64"/>
      <c r="G231" s="83"/>
      <c r="H231" s="84"/>
    </row>
    <row r="232">
      <c r="F232" s="64"/>
      <c r="G232" s="83"/>
      <c r="H232" s="84"/>
    </row>
    <row r="233">
      <c r="F233" s="64"/>
      <c r="G233" s="83"/>
      <c r="H233" s="84"/>
    </row>
    <row r="234">
      <c r="F234" s="64"/>
      <c r="G234" s="83"/>
      <c r="H234" s="84"/>
    </row>
    <row r="235">
      <c r="F235" s="64"/>
      <c r="G235" s="83"/>
      <c r="H235" s="84"/>
    </row>
    <row r="236">
      <c r="F236" s="64"/>
      <c r="G236" s="83"/>
      <c r="H236" s="84"/>
    </row>
    <row r="237">
      <c r="F237" s="64"/>
      <c r="G237" s="83"/>
      <c r="H237" s="84"/>
    </row>
    <row r="238">
      <c r="F238" s="64"/>
      <c r="G238" s="83"/>
      <c r="H238" s="84"/>
    </row>
    <row r="239">
      <c r="F239" s="64"/>
      <c r="G239" s="83"/>
      <c r="H239" s="84"/>
    </row>
    <row r="240">
      <c r="F240" s="64"/>
      <c r="G240" s="83"/>
      <c r="H240" s="84"/>
    </row>
    <row r="241">
      <c r="F241" s="64"/>
      <c r="G241" s="83"/>
      <c r="H241" s="84"/>
    </row>
    <row r="242">
      <c r="F242" s="64"/>
      <c r="G242" s="83"/>
      <c r="H242" s="84"/>
    </row>
    <row r="243">
      <c r="F243" s="64"/>
      <c r="G243" s="83"/>
      <c r="H243" s="84"/>
    </row>
    <row r="244">
      <c r="F244" s="64"/>
      <c r="G244" s="83"/>
      <c r="H244" s="84"/>
    </row>
    <row r="245">
      <c r="F245" s="64"/>
      <c r="G245" s="83"/>
      <c r="H245" s="84"/>
    </row>
    <row r="246">
      <c r="F246" s="64"/>
      <c r="G246" s="83"/>
      <c r="H246" s="84"/>
    </row>
    <row r="247">
      <c r="F247" s="64"/>
      <c r="G247" s="83"/>
      <c r="H247" s="84"/>
    </row>
    <row r="248">
      <c r="F248" s="64"/>
      <c r="G248" s="83"/>
      <c r="H248" s="84"/>
    </row>
    <row r="249">
      <c r="F249" s="64"/>
      <c r="G249" s="83"/>
      <c r="H249" s="84"/>
    </row>
    <row r="250">
      <c r="F250" s="64"/>
      <c r="G250" s="83"/>
      <c r="H250" s="84"/>
    </row>
    <row r="251">
      <c r="F251" s="64"/>
      <c r="G251" s="83"/>
      <c r="H251" s="84"/>
    </row>
    <row r="252">
      <c r="F252" s="64"/>
      <c r="G252" s="83"/>
      <c r="H252" s="84"/>
    </row>
    <row r="253">
      <c r="F253" s="64"/>
      <c r="G253" s="83"/>
      <c r="H253" s="84"/>
    </row>
    <row r="254">
      <c r="F254" s="64"/>
      <c r="G254" s="83"/>
      <c r="H254" s="84"/>
    </row>
    <row r="255">
      <c r="F255" s="64"/>
      <c r="G255" s="83"/>
      <c r="H255" s="84"/>
    </row>
    <row r="256">
      <c r="F256" s="64"/>
      <c r="G256" s="83"/>
      <c r="H256" s="84"/>
    </row>
    <row r="257">
      <c r="F257" s="64"/>
      <c r="G257" s="83"/>
      <c r="H257" s="84"/>
    </row>
    <row r="258">
      <c r="F258" s="64"/>
      <c r="G258" s="83"/>
      <c r="H258" s="84"/>
    </row>
    <row r="259">
      <c r="F259" s="64"/>
      <c r="G259" s="83"/>
      <c r="H259" s="84"/>
    </row>
    <row r="260">
      <c r="F260" s="64"/>
      <c r="G260" s="83"/>
      <c r="H260" s="84"/>
    </row>
    <row r="261">
      <c r="F261" s="64"/>
      <c r="G261" s="83"/>
      <c r="H261" s="84"/>
    </row>
    <row r="262">
      <c r="F262" s="64"/>
      <c r="G262" s="83"/>
      <c r="H262" s="84"/>
    </row>
    <row r="263">
      <c r="F263" s="64"/>
      <c r="G263" s="83"/>
      <c r="H263" s="84"/>
    </row>
    <row r="264">
      <c r="F264" s="64"/>
      <c r="G264" s="83"/>
      <c r="H264" s="84"/>
    </row>
    <row r="265">
      <c r="F265" s="64"/>
      <c r="G265" s="83"/>
      <c r="H265" s="84"/>
    </row>
    <row r="266">
      <c r="F266" s="64"/>
      <c r="G266" s="83"/>
      <c r="H266" s="84"/>
    </row>
    <row r="267">
      <c r="F267" s="64"/>
      <c r="G267" s="83"/>
      <c r="H267" s="84"/>
    </row>
    <row r="268">
      <c r="F268" s="64"/>
      <c r="G268" s="83"/>
      <c r="H268" s="84"/>
    </row>
    <row r="269">
      <c r="F269" s="64"/>
      <c r="G269" s="83"/>
      <c r="H269" s="84"/>
    </row>
    <row r="270">
      <c r="F270" s="64"/>
      <c r="G270" s="83"/>
      <c r="H270" s="84"/>
    </row>
    <row r="271">
      <c r="F271" s="64"/>
      <c r="G271" s="83"/>
      <c r="H271" s="84"/>
    </row>
    <row r="272">
      <c r="F272" s="64"/>
      <c r="G272" s="83"/>
      <c r="H272" s="84"/>
    </row>
    <row r="273">
      <c r="F273" s="64"/>
      <c r="G273" s="83"/>
      <c r="H273" s="84"/>
    </row>
    <row r="274">
      <c r="F274" s="64"/>
      <c r="G274" s="83"/>
      <c r="H274" s="84"/>
    </row>
    <row r="275">
      <c r="F275" s="64"/>
      <c r="G275" s="83"/>
      <c r="H275" s="84"/>
    </row>
    <row r="276">
      <c r="F276" s="64"/>
      <c r="G276" s="83"/>
      <c r="H276" s="84"/>
    </row>
    <row r="277">
      <c r="F277" s="64"/>
      <c r="G277" s="83"/>
      <c r="H277" s="84"/>
    </row>
    <row r="278">
      <c r="F278" s="64"/>
      <c r="G278" s="83"/>
      <c r="H278" s="84"/>
    </row>
    <row r="279">
      <c r="F279" s="64"/>
      <c r="G279" s="83"/>
      <c r="H279" s="84"/>
    </row>
    <row r="280">
      <c r="F280" s="64"/>
      <c r="G280" s="83"/>
      <c r="H280" s="84"/>
    </row>
    <row r="281">
      <c r="F281" s="64"/>
      <c r="G281" s="83"/>
      <c r="H281" s="84"/>
    </row>
    <row r="282">
      <c r="F282" s="64"/>
      <c r="G282" s="83"/>
      <c r="H282" s="84"/>
    </row>
    <row r="283">
      <c r="F283" s="64"/>
      <c r="G283" s="83"/>
      <c r="H283" s="84"/>
    </row>
    <row r="284">
      <c r="F284" s="64"/>
      <c r="G284" s="83"/>
      <c r="H284" s="84"/>
    </row>
    <row r="285">
      <c r="F285" s="64"/>
      <c r="G285" s="83"/>
      <c r="H285" s="84"/>
    </row>
    <row r="286">
      <c r="F286" s="64"/>
      <c r="G286" s="83"/>
      <c r="H286" s="84"/>
    </row>
    <row r="287">
      <c r="F287" s="64"/>
      <c r="G287" s="83"/>
      <c r="H287" s="84"/>
    </row>
    <row r="288">
      <c r="F288" s="64"/>
      <c r="G288" s="83"/>
      <c r="H288" s="84"/>
    </row>
    <row r="289">
      <c r="F289" s="64"/>
      <c r="G289" s="83"/>
      <c r="H289" s="84"/>
    </row>
    <row r="290">
      <c r="F290" s="64"/>
      <c r="G290" s="83"/>
      <c r="H290" s="84"/>
    </row>
    <row r="291">
      <c r="F291" s="64"/>
      <c r="G291" s="83"/>
      <c r="H291" s="84"/>
    </row>
    <row r="292">
      <c r="F292" s="64"/>
      <c r="G292" s="83"/>
      <c r="H292" s="84"/>
    </row>
    <row r="293">
      <c r="F293" s="64"/>
      <c r="G293" s="83"/>
      <c r="H293" s="84"/>
    </row>
    <row r="294">
      <c r="F294" s="64"/>
      <c r="G294" s="83"/>
      <c r="H294" s="84"/>
    </row>
    <row r="295">
      <c r="F295" s="64"/>
      <c r="G295" s="83"/>
      <c r="H295" s="84"/>
    </row>
    <row r="296">
      <c r="F296" s="64"/>
      <c r="G296" s="83"/>
      <c r="H296" s="84"/>
    </row>
    <row r="297">
      <c r="F297" s="64"/>
      <c r="G297" s="83"/>
      <c r="H297" s="84"/>
    </row>
    <row r="298">
      <c r="F298" s="64"/>
      <c r="G298" s="83"/>
      <c r="H298" s="84"/>
    </row>
    <row r="299">
      <c r="F299" s="64"/>
      <c r="G299" s="83"/>
      <c r="H299" s="84"/>
    </row>
    <row r="300">
      <c r="F300" s="64"/>
      <c r="G300" s="83"/>
      <c r="H300" s="84"/>
    </row>
    <row r="301">
      <c r="F301" s="64"/>
      <c r="G301" s="83"/>
      <c r="H301" s="84"/>
    </row>
    <row r="302">
      <c r="F302" s="64"/>
      <c r="G302" s="83"/>
      <c r="H302" s="84"/>
    </row>
    <row r="303">
      <c r="F303" s="64"/>
      <c r="G303" s="83"/>
      <c r="H303" s="84"/>
    </row>
    <row r="304">
      <c r="F304" s="64"/>
      <c r="G304" s="83"/>
      <c r="H304" s="84"/>
    </row>
    <row r="305">
      <c r="F305" s="64"/>
      <c r="G305" s="83"/>
      <c r="H305" s="84"/>
    </row>
    <row r="306">
      <c r="F306" s="64"/>
      <c r="G306" s="83"/>
      <c r="H306" s="84"/>
    </row>
    <row r="307">
      <c r="F307" s="64"/>
      <c r="G307" s="83"/>
      <c r="H307" s="84"/>
    </row>
    <row r="308">
      <c r="F308" s="64"/>
      <c r="G308" s="83"/>
      <c r="H308" s="84"/>
    </row>
    <row r="309">
      <c r="F309" s="64"/>
      <c r="G309" s="83"/>
      <c r="H309" s="84"/>
    </row>
    <row r="310">
      <c r="F310" s="64"/>
      <c r="G310" s="83"/>
      <c r="H310" s="84"/>
    </row>
    <row r="311">
      <c r="F311" s="64"/>
      <c r="G311" s="83"/>
      <c r="H311" s="84"/>
    </row>
    <row r="312">
      <c r="F312" s="64"/>
      <c r="G312" s="83"/>
      <c r="H312" s="84"/>
    </row>
    <row r="313">
      <c r="F313" s="64"/>
      <c r="G313" s="83"/>
      <c r="H313" s="84"/>
    </row>
    <row r="314">
      <c r="F314" s="64"/>
      <c r="G314" s="83"/>
      <c r="H314" s="84"/>
    </row>
    <row r="315">
      <c r="F315" s="64"/>
      <c r="G315" s="83"/>
      <c r="H315" s="84"/>
    </row>
    <row r="316">
      <c r="F316" s="64"/>
      <c r="G316" s="83"/>
      <c r="H316" s="84"/>
    </row>
    <row r="317">
      <c r="F317" s="64"/>
      <c r="G317" s="83"/>
      <c r="H317" s="84"/>
    </row>
    <row r="318">
      <c r="F318" s="64"/>
      <c r="G318" s="83"/>
      <c r="H318" s="84"/>
    </row>
    <row r="319">
      <c r="F319" s="64"/>
      <c r="G319" s="83"/>
      <c r="H319" s="84"/>
    </row>
    <row r="320">
      <c r="F320" s="64"/>
      <c r="G320" s="83"/>
      <c r="H320" s="84"/>
    </row>
    <row r="321">
      <c r="F321" s="64"/>
      <c r="G321" s="83"/>
      <c r="H321" s="84"/>
    </row>
    <row r="322">
      <c r="F322" s="64"/>
      <c r="G322" s="83"/>
      <c r="H322" s="84"/>
    </row>
    <row r="323">
      <c r="F323" s="64"/>
      <c r="G323" s="83"/>
      <c r="H323" s="84"/>
    </row>
    <row r="324">
      <c r="F324" s="64"/>
      <c r="G324" s="83"/>
      <c r="H324" s="84"/>
    </row>
    <row r="325">
      <c r="F325" s="64"/>
      <c r="G325" s="83"/>
      <c r="H325" s="84"/>
    </row>
    <row r="326">
      <c r="F326" s="64"/>
      <c r="G326" s="83"/>
      <c r="H326" s="84"/>
    </row>
    <row r="327">
      <c r="F327" s="64"/>
      <c r="G327" s="83"/>
      <c r="H327" s="84"/>
    </row>
    <row r="328">
      <c r="F328" s="64"/>
      <c r="G328" s="83"/>
      <c r="H328" s="84"/>
    </row>
    <row r="329">
      <c r="F329" s="64"/>
      <c r="G329" s="83"/>
      <c r="H329" s="84"/>
    </row>
    <row r="330">
      <c r="F330" s="64"/>
      <c r="G330" s="83"/>
      <c r="H330" s="84"/>
    </row>
    <row r="331">
      <c r="F331" s="64"/>
      <c r="G331" s="83"/>
      <c r="H331" s="84"/>
    </row>
    <row r="332">
      <c r="F332" s="64"/>
      <c r="G332" s="83"/>
      <c r="H332" s="84"/>
    </row>
    <row r="333">
      <c r="F333" s="64"/>
      <c r="G333" s="83"/>
      <c r="H333" s="84"/>
    </row>
    <row r="334">
      <c r="F334" s="64"/>
      <c r="G334" s="83"/>
      <c r="H334" s="84"/>
    </row>
    <row r="335">
      <c r="F335" s="64"/>
      <c r="G335" s="83"/>
      <c r="H335" s="84"/>
    </row>
    <row r="336">
      <c r="F336" s="64"/>
      <c r="G336" s="83"/>
      <c r="H336" s="84"/>
    </row>
    <row r="337">
      <c r="F337" s="64"/>
      <c r="G337" s="83"/>
      <c r="H337" s="84"/>
    </row>
    <row r="338">
      <c r="F338" s="64"/>
      <c r="G338" s="83"/>
      <c r="H338" s="84"/>
    </row>
    <row r="339">
      <c r="F339" s="64"/>
      <c r="G339" s="83"/>
      <c r="H339" s="84"/>
    </row>
    <row r="340">
      <c r="F340" s="64"/>
      <c r="G340" s="83"/>
      <c r="H340" s="84"/>
    </row>
    <row r="341">
      <c r="F341" s="64"/>
      <c r="G341" s="83"/>
      <c r="H341" s="84"/>
    </row>
    <row r="342">
      <c r="F342" s="64"/>
      <c r="G342" s="83"/>
      <c r="H342" s="84"/>
    </row>
    <row r="343">
      <c r="F343" s="64"/>
      <c r="G343" s="83"/>
      <c r="H343" s="84"/>
    </row>
    <row r="344">
      <c r="F344" s="64"/>
      <c r="G344" s="83"/>
      <c r="H344" s="84"/>
    </row>
    <row r="345">
      <c r="F345" s="64"/>
      <c r="G345" s="83"/>
      <c r="H345" s="84"/>
    </row>
    <row r="346">
      <c r="F346" s="64"/>
      <c r="G346" s="83"/>
      <c r="H346" s="84"/>
    </row>
    <row r="347">
      <c r="F347" s="64"/>
      <c r="G347" s="83"/>
      <c r="H347" s="84"/>
    </row>
    <row r="348">
      <c r="F348" s="64"/>
      <c r="G348" s="83"/>
      <c r="H348" s="84"/>
    </row>
    <row r="349">
      <c r="F349" s="64"/>
      <c r="G349" s="83"/>
      <c r="H349" s="84"/>
    </row>
    <row r="350">
      <c r="F350" s="64"/>
      <c r="G350" s="83"/>
      <c r="H350" s="84"/>
    </row>
    <row r="351">
      <c r="F351" s="64"/>
      <c r="G351" s="83"/>
      <c r="H351" s="84"/>
    </row>
    <row r="352">
      <c r="F352" s="64"/>
      <c r="G352" s="83"/>
      <c r="H352" s="84"/>
    </row>
    <row r="353">
      <c r="F353" s="64"/>
      <c r="G353" s="83"/>
      <c r="H353" s="84"/>
    </row>
    <row r="354">
      <c r="F354" s="64"/>
      <c r="G354" s="83"/>
      <c r="H354" s="84"/>
    </row>
    <row r="355">
      <c r="F355" s="64"/>
      <c r="G355" s="83"/>
      <c r="H355" s="84"/>
    </row>
    <row r="356">
      <c r="F356" s="64"/>
      <c r="G356" s="83"/>
      <c r="H356" s="84"/>
    </row>
    <row r="357">
      <c r="F357" s="64"/>
      <c r="G357" s="83"/>
      <c r="H357" s="84"/>
    </row>
    <row r="358">
      <c r="F358" s="64"/>
      <c r="G358" s="83"/>
      <c r="H358" s="84"/>
    </row>
    <row r="359">
      <c r="F359" s="64"/>
      <c r="G359" s="83"/>
      <c r="H359" s="84"/>
    </row>
    <row r="360">
      <c r="F360" s="64"/>
      <c r="G360" s="83"/>
      <c r="H360" s="84"/>
    </row>
    <row r="361">
      <c r="F361" s="64"/>
      <c r="G361" s="83"/>
      <c r="H361" s="84"/>
    </row>
    <row r="362">
      <c r="F362" s="64"/>
      <c r="G362" s="83"/>
      <c r="H362" s="84"/>
    </row>
    <row r="363">
      <c r="F363" s="64"/>
      <c r="G363" s="83"/>
      <c r="H363" s="84"/>
    </row>
    <row r="364">
      <c r="F364" s="64"/>
      <c r="G364" s="83"/>
      <c r="H364" s="84"/>
    </row>
    <row r="365">
      <c r="F365" s="64"/>
      <c r="G365" s="83"/>
      <c r="H365" s="84"/>
    </row>
    <row r="366">
      <c r="F366" s="64"/>
      <c r="G366" s="83"/>
      <c r="H366" s="84"/>
    </row>
    <row r="367">
      <c r="F367" s="64"/>
      <c r="G367" s="83"/>
      <c r="H367" s="84"/>
    </row>
    <row r="368">
      <c r="F368" s="64"/>
      <c r="G368" s="83"/>
      <c r="H368" s="84"/>
    </row>
    <row r="369">
      <c r="F369" s="64"/>
      <c r="G369" s="83"/>
      <c r="H369" s="84"/>
    </row>
    <row r="370">
      <c r="F370" s="64"/>
      <c r="G370" s="83"/>
      <c r="H370" s="84"/>
    </row>
    <row r="371">
      <c r="F371" s="64"/>
      <c r="G371" s="83"/>
      <c r="H371" s="84"/>
    </row>
    <row r="372">
      <c r="F372" s="64"/>
      <c r="G372" s="83"/>
      <c r="H372" s="84"/>
    </row>
    <row r="373">
      <c r="F373" s="64"/>
      <c r="G373" s="83"/>
      <c r="H373" s="84"/>
    </row>
    <row r="374">
      <c r="F374" s="64"/>
      <c r="G374" s="83"/>
      <c r="H374" s="84"/>
    </row>
    <row r="375">
      <c r="F375" s="64"/>
      <c r="G375" s="83"/>
      <c r="H375" s="84"/>
    </row>
    <row r="376">
      <c r="F376" s="64"/>
      <c r="G376" s="83"/>
      <c r="H376" s="84"/>
    </row>
    <row r="377">
      <c r="F377" s="64"/>
      <c r="G377" s="83"/>
      <c r="H377" s="84"/>
    </row>
    <row r="378">
      <c r="F378" s="64"/>
      <c r="G378" s="83"/>
      <c r="H378" s="84"/>
    </row>
    <row r="379">
      <c r="F379" s="64"/>
      <c r="G379" s="83"/>
      <c r="H379" s="84"/>
    </row>
    <row r="380">
      <c r="F380" s="64"/>
      <c r="G380" s="83"/>
      <c r="H380" s="84"/>
    </row>
    <row r="381">
      <c r="F381" s="64"/>
      <c r="G381" s="83"/>
      <c r="H381" s="84"/>
    </row>
    <row r="382">
      <c r="F382" s="64"/>
      <c r="G382" s="83"/>
      <c r="H382" s="84"/>
    </row>
    <row r="383">
      <c r="F383" s="64"/>
      <c r="G383" s="83"/>
      <c r="H383" s="84"/>
    </row>
    <row r="384">
      <c r="F384" s="64"/>
      <c r="G384" s="83"/>
      <c r="H384" s="84"/>
    </row>
    <row r="385">
      <c r="F385" s="64"/>
      <c r="G385" s="83"/>
      <c r="H385" s="84"/>
    </row>
    <row r="386">
      <c r="F386" s="64"/>
      <c r="G386" s="83"/>
      <c r="H386" s="84"/>
    </row>
    <row r="387">
      <c r="F387" s="64"/>
      <c r="G387" s="83"/>
      <c r="H387" s="84"/>
    </row>
    <row r="388">
      <c r="F388" s="64"/>
      <c r="G388" s="83"/>
      <c r="H388" s="84"/>
    </row>
    <row r="389">
      <c r="F389" s="64"/>
      <c r="G389" s="83"/>
      <c r="H389" s="84"/>
    </row>
    <row r="390">
      <c r="F390" s="64"/>
      <c r="G390" s="83"/>
      <c r="H390" s="84"/>
    </row>
    <row r="391">
      <c r="F391" s="64"/>
      <c r="G391" s="83"/>
      <c r="H391" s="84"/>
    </row>
    <row r="392">
      <c r="F392" s="64"/>
      <c r="G392" s="83"/>
      <c r="H392" s="84"/>
    </row>
    <row r="393">
      <c r="F393" s="64"/>
      <c r="G393" s="83"/>
      <c r="H393" s="84"/>
    </row>
    <row r="394">
      <c r="F394" s="64"/>
      <c r="G394" s="83"/>
      <c r="H394" s="84"/>
    </row>
    <row r="395">
      <c r="F395" s="64"/>
      <c r="G395" s="83"/>
      <c r="H395" s="84"/>
    </row>
    <row r="396">
      <c r="F396" s="64"/>
      <c r="G396" s="83"/>
      <c r="H396" s="84"/>
    </row>
    <row r="397">
      <c r="F397" s="64"/>
      <c r="G397" s="83"/>
      <c r="H397" s="84"/>
    </row>
    <row r="398">
      <c r="F398" s="64"/>
      <c r="G398" s="83"/>
      <c r="H398" s="84"/>
    </row>
    <row r="399">
      <c r="F399" s="64"/>
      <c r="G399" s="83"/>
      <c r="H399" s="84"/>
    </row>
    <row r="400">
      <c r="F400" s="64"/>
      <c r="G400" s="83"/>
      <c r="H400" s="84"/>
    </row>
    <row r="401">
      <c r="F401" s="64"/>
      <c r="G401" s="83"/>
      <c r="H401" s="84"/>
    </row>
    <row r="402">
      <c r="F402" s="64"/>
      <c r="G402" s="83"/>
      <c r="H402" s="84"/>
    </row>
    <row r="403">
      <c r="F403" s="64"/>
      <c r="G403" s="83"/>
      <c r="H403" s="84"/>
    </row>
    <row r="404">
      <c r="F404" s="64"/>
      <c r="G404" s="83"/>
      <c r="H404" s="84"/>
    </row>
    <row r="405">
      <c r="F405" s="64"/>
      <c r="G405" s="83"/>
      <c r="H405" s="84"/>
    </row>
    <row r="406">
      <c r="F406" s="64"/>
      <c r="G406" s="83"/>
      <c r="H406" s="84"/>
    </row>
    <row r="407">
      <c r="F407" s="64"/>
      <c r="G407" s="83"/>
      <c r="H407" s="84"/>
    </row>
    <row r="408">
      <c r="F408" s="64"/>
      <c r="G408" s="83"/>
      <c r="H408" s="84"/>
    </row>
    <row r="409">
      <c r="F409" s="64"/>
      <c r="G409" s="83"/>
      <c r="H409" s="84"/>
    </row>
    <row r="410">
      <c r="F410" s="64"/>
      <c r="G410" s="83"/>
      <c r="H410" s="84"/>
    </row>
    <row r="411">
      <c r="F411" s="64"/>
      <c r="G411" s="83"/>
      <c r="H411" s="84"/>
    </row>
    <row r="412">
      <c r="F412" s="64"/>
      <c r="G412" s="83"/>
      <c r="H412" s="84"/>
    </row>
    <row r="413">
      <c r="F413" s="64"/>
      <c r="G413" s="83"/>
      <c r="H413" s="84"/>
    </row>
    <row r="414">
      <c r="F414" s="64"/>
      <c r="G414" s="83"/>
      <c r="H414" s="84"/>
    </row>
    <row r="415">
      <c r="F415" s="64"/>
      <c r="G415" s="83"/>
      <c r="H415" s="84"/>
    </row>
    <row r="416">
      <c r="F416" s="64"/>
      <c r="G416" s="83"/>
      <c r="H416" s="84"/>
    </row>
    <row r="417">
      <c r="F417" s="64"/>
      <c r="G417" s="83"/>
      <c r="H417" s="84"/>
    </row>
    <row r="418">
      <c r="F418" s="64"/>
      <c r="G418" s="83"/>
      <c r="H418" s="84"/>
    </row>
    <row r="419">
      <c r="F419" s="64"/>
      <c r="G419" s="83"/>
      <c r="H419" s="84"/>
    </row>
    <row r="420">
      <c r="F420" s="64"/>
      <c r="G420" s="83"/>
      <c r="H420" s="84"/>
    </row>
    <row r="421">
      <c r="F421" s="64"/>
      <c r="G421" s="83"/>
      <c r="H421" s="84"/>
    </row>
    <row r="422">
      <c r="F422" s="64"/>
      <c r="G422" s="83"/>
      <c r="H422" s="84"/>
    </row>
    <row r="423">
      <c r="F423" s="64"/>
      <c r="G423" s="83"/>
      <c r="H423" s="84"/>
    </row>
    <row r="424">
      <c r="F424" s="64"/>
      <c r="G424" s="83"/>
      <c r="H424" s="84"/>
    </row>
    <row r="425">
      <c r="F425" s="64"/>
      <c r="G425" s="83"/>
      <c r="H425" s="84"/>
    </row>
    <row r="426">
      <c r="F426" s="64"/>
      <c r="G426" s="83"/>
      <c r="H426" s="84"/>
    </row>
    <row r="427">
      <c r="F427" s="64"/>
      <c r="G427" s="83"/>
      <c r="H427" s="84"/>
    </row>
    <row r="428">
      <c r="F428" s="64"/>
      <c r="G428" s="83"/>
      <c r="H428" s="84"/>
    </row>
    <row r="429">
      <c r="F429" s="64"/>
      <c r="G429" s="83"/>
      <c r="H429" s="84"/>
    </row>
    <row r="430">
      <c r="F430" s="64"/>
      <c r="G430" s="83"/>
      <c r="H430" s="84"/>
    </row>
    <row r="431">
      <c r="F431" s="64"/>
      <c r="G431" s="83"/>
      <c r="H431" s="84"/>
    </row>
    <row r="432">
      <c r="F432" s="64"/>
      <c r="G432" s="83"/>
      <c r="H432" s="84"/>
    </row>
    <row r="433">
      <c r="F433" s="64"/>
      <c r="G433" s="83"/>
      <c r="H433" s="84"/>
    </row>
    <row r="434">
      <c r="F434" s="64"/>
      <c r="G434" s="83"/>
      <c r="H434" s="84"/>
    </row>
    <row r="435">
      <c r="F435" s="64"/>
      <c r="G435" s="83"/>
      <c r="H435" s="84"/>
    </row>
    <row r="436">
      <c r="F436" s="64"/>
      <c r="G436" s="83"/>
      <c r="H436" s="84"/>
    </row>
    <row r="437">
      <c r="F437" s="64"/>
      <c r="G437" s="83"/>
      <c r="H437" s="84"/>
    </row>
    <row r="438">
      <c r="F438" s="64"/>
      <c r="G438" s="83"/>
      <c r="H438" s="84"/>
    </row>
    <row r="439">
      <c r="F439" s="64"/>
      <c r="G439" s="83"/>
      <c r="H439" s="84"/>
    </row>
    <row r="440">
      <c r="F440" s="64"/>
      <c r="G440" s="83"/>
      <c r="H440" s="84"/>
    </row>
    <row r="441">
      <c r="F441" s="64"/>
      <c r="G441" s="83"/>
      <c r="H441" s="84"/>
    </row>
    <row r="442">
      <c r="F442" s="64"/>
      <c r="G442" s="83"/>
      <c r="H442" s="84"/>
    </row>
    <row r="443">
      <c r="F443" s="64"/>
      <c r="G443" s="83"/>
      <c r="H443" s="84"/>
    </row>
    <row r="444">
      <c r="F444" s="64"/>
      <c r="G444" s="83"/>
      <c r="H444" s="84"/>
    </row>
    <row r="445">
      <c r="F445" s="64"/>
      <c r="G445" s="83"/>
      <c r="H445" s="84"/>
    </row>
    <row r="446">
      <c r="F446" s="64"/>
      <c r="G446" s="83"/>
      <c r="H446" s="84"/>
    </row>
    <row r="447">
      <c r="F447" s="64"/>
      <c r="G447" s="83"/>
      <c r="H447" s="84"/>
    </row>
    <row r="448">
      <c r="F448" s="64"/>
      <c r="G448" s="83"/>
      <c r="H448" s="84"/>
    </row>
    <row r="449">
      <c r="F449" s="64"/>
      <c r="G449" s="83"/>
      <c r="H449" s="84"/>
    </row>
    <row r="450">
      <c r="F450" s="64"/>
      <c r="G450" s="83"/>
      <c r="H450" s="84"/>
    </row>
    <row r="451">
      <c r="F451" s="64"/>
      <c r="G451" s="83"/>
      <c r="H451" s="84"/>
    </row>
    <row r="452">
      <c r="F452" s="64"/>
      <c r="G452" s="83"/>
      <c r="H452" s="84"/>
    </row>
    <row r="453">
      <c r="F453" s="64"/>
      <c r="G453" s="83"/>
      <c r="H453" s="84"/>
    </row>
    <row r="454">
      <c r="F454" s="64"/>
      <c r="G454" s="83"/>
      <c r="H454" s="84"/>
    </row>
    <row r="455">
      <c r="F455" s="64"/>
      <c r="G455" s="83"/>
      <c r="H455" s="84"/>
    </row>
    <row r="456">
      <c r="F456" s="64"/>
      <c r="G456" s="83"/>
      <c r="H456" s="84"/>
    </row>
    <row r="457">
      <c r="F457" s="64"/>
      <c r="G457" s="83"/>
      <c r="H457" s="84"/>
    </row>
    <row r="458">
      <c r="F458" s="64"/>
      <c r="G458" s="83"/>
      <c r="H458" s="84"/>
    </row>
    <row r="459">
      <c r="F459" s="64"/>
      <c r="G459" s="83"/>
      <c r="H459" s="84"/>
    </row>
    <row r="460">
      <c r="F460" s="64"/>
      <c r="G460" s="83"/>
      <c r="H460" s="84"/>
    </row>
    <row r="461">
      <c r="F461" s="64"/>
      <c r="G461" s="83"/>
      <c r="H461" s="84"/>
    </row>
    <row r="462">
      <c r="F462" s="64"/>
      <c r="G462" s="83"/>
      <c r="H462" s="84"/>
    </row>
    <row r="463">
      <c r="F463" s="64"/>
      <c r="G463" s="83"/>
      <c r="H463" s="84"/>
    </row>
    <row r="464">
      <c r="F464" s="64"/>
      <c r="G464" s="83"/>
      <c r="H464" s="84"/>
    </row>
    <row r="465">
      <c r="F465" s="64"/>
      <c r="G465" s="83"/>
      <c r="H465" s="84"/>
    </row>
    <row r="466">
      <c r="F466" s="64"/>
      <c r="G466" s="83"/>
      <c r="H466" s="84"/>
    </row>
    <row r="467">
      <c r="F467" s="64"/>
      <c r="G467" s="83"/>
      <c r="H467" s="84"/>
    </row>
    <row r="468">
      <c r="F468" s="64"/>
      <c r="G468" s="83"/>
      <c r="H468" s="84"/>
    </row>
    <row r="469">
      <c r="F469" s="64"/>
      <c r="G469" s="83"/>
      <c r="H469" s="84"/>
    </row>
    <row r="470">
      <c r="F470" s="64"/>
      <c r="G470" s="83"/>
      <c r="H470" s="84"/>
    </row>
    <row r="471">
      <c r="F471" s="64"/>
      <c r="G471" s="83"/>
      <c r="H471" s="84"/>
    </row>
    <row r="472">
      <c r="F472" s="64"/>
      <c r="G472" s="83"/>
      <c r="H472" s="84"/>
    </row>
    <row r="473">
      <c r="F473" s="64"/>
      <c r="G473" s="83"/>
      <c r="H473" s="84"/>
    </row>
    <row r="474">
      <c r="F474" s="64"/>
      <c r="G474" s="83"/>
      <c r="H474" s="84"/>
    </row>
    <row r="475">
      <c r="F475" s="64"/>
      <c r="G475" s="83"/>
      <c r="H475" s="84"/>
    </row>
    <row r="476">
      <c r="F476" s="64"/>
      <c r="G476" s="83"/>
      <c r="H476" s="84"/>
    </row>
    <row r="477">
      <c r="F477" s="64"/>
      <c r="G477" s="83"/>
      <c r="H477" s="84"/>
    </row>
    <row r="478">
      <c r="F478" s="64"/>
      <c r="G478" s="83"/>
      <c r="H478" s="84"/>
    </row>
    <row r="479">
      <c r="F479" s="64"/>
      <c r="G479" s="83"/>
      <c r="H479" s="84"/>
    </row>
    <row r="480">
      <c r="F480" s="64"/>
      <c r="G480" s="83"/>
      <c r="H480" s="84"/>
    </row>
    <row r="481">
      <c r="F481" s="64"/>
      <c r="G481" s="83"/>
      <c r="H481" s="84"/>
    </row>
    <row r="482">
      <c r="F482" s="64"/>
      <c r="G482" s="83"/>
      <c r="H482" s="84"/>
    </row>
    <row r="483">
      <c r="F483" s="64"/>
      <c r="G483" s="83"/>
      <c r="H483" s="84"/>
    </row>
    <row r="484">
      <c r="F484" s="64"/>
      <c r="G484" s="83"/>
      <c r="H484" s="84"/>
    </row>
    <row r="485">
      <c r="F485" s="64"/>
      <c r="G485" s="83"/>
      <c r="H485" s="84"/>
    </row>
    <row r="486">
      <c r="F486" s="64"/>
      <c r="G486" s="83"/>
      <c r="H486" s="84"/>
    </row>
    <row r="487">
      <c r="F487" s="64"/>
      <c r="G487" s="83"/>
      <c r="H487" s="84"/>
    </row>
    <row r="488">
      <c r="F488" s="64"/>
      <c r="G488" s="83"/>
      <c r="H488" s="84"/>
    </row>
    <row r="489">
      <c r="F489" s="64"/>
      <c r="G489" s="83"/>
      <c r="H489" s="84"/>
    </row>
    <row r="490">
      <c r="F490" s="64"/>
      <c r="G490" s="83"/>
      <c r="H490" s="84"/>
    </row>
    <row r="491">
      <c r="F491" s="64"/>
      <c r="G491" s="83"/>
      <c r="H491" s="84"/>
    </row>
    <row r="492">
      <c r="F492" s="64"/>
      <c r="G492" s="83"/>
      <c r="H492" s="84"/>
    </row>
    <row r="493">
      <c r="F493" s="64"/>
      <c r="G493" s="83"/>
      <c r="H493" s="84"/>
    </row>
    <row r="494">
      <c r="F494" s="64"/>
      <c r="G494" s="83"/>
      <c r="H494" s="84"/>
    </row>
    <row r="495">
      <c r="F495" s="64"/>
      <c r="G495" s="83"/>
      <c r="H495" s="84"/>
    </row>
    <row r="496">
      <c r="F496" s="64"/>
      <c r="G496" s="83"/>
      <c r="H496" s="84"/>
    </row>
    <row r="497">
      <c r="F497" s="64"/>
      <c r="G497" s="83"/>
      <c r="H497" s="84"/>
    </row>
    <row r="498">
      <c r="F498" s="64"/>
      <c r="G498" s="83"/>
      <c r="H498" s="84"/>
    </row>
    <row r="499">
      <c r="F499" s="64"/>
      <c r="G499" s="83"/>
      <c r="H499" s="84"/>
    </row>
    <row r="500">
      <c r="F500" s="64"/>
      <c r="G500" s="83"/>
      <c r="H500" s="84"/>
    </row>
    <row r="501">
      <c r="F501" s="64"/>
      <c r="G501" s="83"/>
      <c r="H501" s="84"/>
    </row>
    <row r="502">
      <c r="F502" s="64"/>
      <c r="G502" s="83"/>
      <c r="H502" s="84"/>
    </row>
    <row r="503">
      <c r="F503" s="64"/>
      <c r="G503" s="83"/>
      <c r="H503" s="84"/>
    </row>
    <row r="504">
      <c r="F504" s="64"/>
      <c r="G504" s="83"/>
      <c r="H504" s="84"/>
    </row>
    <row r="505">
      <c r="F505" s="64"/>
      <c r="G505" s="83"/>
      <c r="H505" s="84"/>
    </row>
    <row r="506">
      <c r="F506" s="64"/>
      <c r="G506" s="83"/>
      <c r="H506" s="84"/>
    </row>
    <row r="507">
      <c r="F507" s="64"/>
      <c r="G507" s="83"/>
      <c r="H507" s="84"/>
    </row>
    <row r="508">
      <c r="F508" s="64"/>
      <c r="G508" s="83"/>
      <c r="H508" s="84"/>
    </row>
    <row r="509">
      <c r="F509" s="64"/>
      <c r="G509" s="83"/>
      <c r="H509" s="84"/>
    </row>
    <row r="510">
      <c r="F510" s="64"/>
      <c r="G510" s="83"/>
      <c r="H510" s="84"/>
    </row>
    <row r="511">
      <c r="F511" s="64"/>
      <c r="G511" s="83"/>
      <c r="H511" s="84"/>
    </row>
    <row r="512">
      <c r="F512" s="64"/>
      <c r="G512" s="83"/>
      <c r="H512" s="84"/>
    </row>
    <row r="513">
      <c r="F513" s="64"/>
      <c r="G513" s="83"/>
      <c r="H513" s="84"/>
    </row>
    <row r="514">
      <c r="F514" s="64"/>
      <c r="G514" s="83"/>
      <c r="H514" s="84"/>
    </row>
    <row r="515">
      <c r="F515" s="64"/>
      <c r="G515" s="83"/>
      <c r="H515" s="84"/>
    </row>
    <row r="516">
      <c r="F516" s="64"/>
      <c r="G516" s="83"/>
      <c r="H516" s="84"/>
    </row>
    <row r="517">
      <c r="F517" s="64"/>
      <c r="G517" s="83"/>
      <c r="H517" s="84"/>
    </row>
    <row r="518">
      <c r="F518" s="64"/>
      <c r="G518" s="83"/>
      <c r="H518" s="84"/>
    </row>
    <row r="519">
      <c r="F519" s="64"/>
      <c r="G519" s="83"/>
      <c r="H519" s="84"/>
    </row>
    <row r="520">
      <c r="F520" s="64"/>
      <c r="G520" s="83"/>
      <c r="H520" s="84"/>
    </row>
    <row r="521">
      <c r="F521" s="64"/>
      <c r="G521" s="83"/>
      <c r="H521" s="84"/>
    </row>
    <row r="522">
      <c r="F522" s="64"/>
      <c r="G522" s="83"/>
      <c r="H522" s="84"/>
    </row>
    <row r="523">
      <c r="F523" s="64"/>
      <c r="G523" s="83"/>
      <c r="H523" s="84"/>
    </row>
    <row r="524">
      <c r="F524" s="64"/>
      <c r="G524" s="83"/>
      <c r="H524" s="84"/>
    </row>
    <row r="525">
      <c r="F525" s="64"/>
      <c r="G525" s="83"/>
      <c r="H525" s="84"/>
    </row>
    <row r="526">
      <c r="F526" s="64"/>
      <c r="G526" s="83"/>
      <c r="H526" s="84"/>
    </row>
    <row r="527">
      <c r="F527" s="64"/>
      <c r="G527" s="83"/>
      <c r="H527" s="84"/>
    </row>
    <row r="528">
      <c r="F528" s="64"/>
      <c r="G528" s="83"/>
      <c r="H528" s="84"/>
    </row>
    <row r="529">
      <c r="F529" s="64"/>
      <c r="G529" s="83"/>
      <c r="H529" s="84"/>
    </row>
    <row r="530">
      <c r="F530" s="64"/>
      <c r="G530" s="83"/>
      <c r="H530" s="84"/>
    </row>
    <row r="531">
      <c r="F531" s="64"/>
      <c r="G531" s="83"/>
      <c r="H531" s="84"/>
    </row>
    <row r="532">
      <c r="F532" s="64"/>
      <c r="G532" s="83"/>
      <c r="H532" s="84"/>
    </row>
    <row r="533">
      <c r="F533" s="64"/>
      <c r="G533" s="83"/>
      <c r="H533" s="84"/>
    </row>
    <row r="534">
      <c r="F534" s="64"/>
      <c r="G534" s="83"/>
      <c r="H534" s="84"/>
    </row>
    <row r="535">
      <c r="F535" s="64"/>
      <c r="G535" s="83"/>
      <c r="H535" s="84"/>
    </row>
    <row r="536">
      <c r="F536" s="64"/>
      <c r="G536" s="83"/>
      <c r="H536" s="84"/>
    </row>
    <row r="537">
      <c r="F537" s="64"/>
      <c r="G537" s="83"/>
      <c r="H537" s="84"/>
    </row>
    <row r="538">
      <c r="F538" s="64"/>
      <c r="G538" s="83"/>
      <c r="H538" s="84"/>
    </row>
    <row r="539">
      <c r="F539" s="64"/>
      <c r="G539" s="83"/>
      <c r="H539" s="84"/>
    </row>
    <row r="540">
      <c r="F540" s="64"/>
      <c r="G540" s="83"/>
      <c r="H540" s="84"/>
    </row>
    <row r="541">
      <c r="F541" s="64"/>
      <c r="G541" s="83"/>
      <c r="H541" s="84"/>
    </row>
    <row r="542">
      <c r="F542" s="64"/>
      <c r="G542" s="83"/>
      <c r="H542" s="84"/>
    </row>
    <row r="543">
      <c r="F543" s="64"/>
      <c r="G543" s="83"/>
      <c r="H543" s="84"/>
    </row>
    <row r="544">
      <c r="F544" s="64"/>
      <c r="G544" s="83"/>
      <c r="H544" s="84"/>
    </row>
    <row r="545">
      <c r="F545" s="64"/>
      <c r="G545" s="83"/>
      <c r="H545" s="84"/>
    </row>
    <row r="546">
      <c r="F546" s="64"/>
      <c r="G546" s="83"/>
      <c r="H546" s="84"/>
    </row>
    <row r="547">
      <c r="F547" s="64"/>
      <c r="G547" s="83"/>
      <c r="H547" s="84"/>
    </row>
    <row r="548">
      <c r="F548" s="64"/>
      <c r="G548" s="83"/>
      <c r="H548" s="84"/>
    </row>
    <row r="549">
      <c r="F549" s="64"/>
      <c r="G549" s="83"/>
      <c r="H549" s="84"/>
    </row>
    <row r="550">
      <c r="F550" s="64"/>
      <c r="G550" s="83"/>
      <c r="H550" s="84"/>
    </row>
    <row r="551">
      <c r="F551" s="64"/>
      <c r="G551" s="83"/>
      <c r="H551" s="84"/>
    </row>
    <row r="552">
      <c r="F552" s="64"/>
      <c r="G552" s="83"/>
      <c r="H552" s="84"/>
    </row>
    <row r="553">
      <c r="F553" s="64"/>
      <c r="G553" s="83"/>
      <c r="H553" s="84"/>
    </row>
    <row r="554">
      <c r="F554" s="64"/>
      <c r="G554" s="83"/>
      <c r="H554" s="84"/>
    </row>
    <row r="555">
      <c r="F555" s="64"/>
      <c r="G555" s="83"/>
      <c r="H555" s="84"/>
    </row>
    <row r="556">
      <c r="F556" s="64"/>
      <c r="G556" s="83"/>
      <c r="H556" s="84"/>
    </row>
    <row r="557">
      <c r="F557" s="64"/>
      <c r="G557" s="83"/>
      <c r="H557" s="84"/>
    </row>
    <row r="558">
      <c r="F558" s="64"/>
      <c r="G558" s="83"/>
      <c r="H558" s="84"/>
    </row>
    <row r="559">
      <c r="F559" s="64"/>
      <c r="G559" s="83"/>
      <c r="H559" s="84"/>
    </row>
    <row r="560">
      <c r="F560" s="64"/>
      <c r="G560" s="83"/>
      <c r="H560" s="84"/>
    </row>
    <row r="561">
      <c r="F561" s="64"/>
      <c r="G561" s="83"/>
      <c r="H561" s="84"/>
    </row>
    <row r="562">
      <c r="F562" s="64"/>
      <c r="G562" s="83"/>
      <c r="H562" s="84"/>
    </row>
    <row r="563">
      <c r="F563" s="64"/>
      <c r="G563" s="83"/>
      <c r="H563" s="84"/>
    </row>
    <row r="564">
      <c r="F564" s="64"/>
      <c r="G564" s="83"/>
      <c r="H564" s="84"/>
    </row>
    <row r="565">
      <c r="F565" s="64"/>
      <c r="G565" s="83"/>
      <c r="H565" s="84"/>
    </row>
    <row r="566">
      <c r="F566" s="64"/>
      <c r="G566" s="83"/>
      <c r="H566" s="84"/>
    </row>
    <row r="567">
      <c r="F567" s="64"/>
      <c r="G567" s="83"/>
      <c r="H567" s="84"/>
    </row>
    <row r="568">
      <c r="F568" s="64"/>
      <c r="G568" s="83"/>
      <c r="H568" s="84"/>
    </row>
    <row r="569">
      <c r="F569" s="64"/>
      <c r="G569" s="83"/>
      <c r="H569" s="84"/>
    </row>
    <row r="570">
      <c r="F570" s="64"/>
      <c r="G570" s="83"/>
      <c r="H570" s="84"/>
    </row>
    <row r="571">
      <c r="F571" s="64"/>
      <c r="G571" s="83"/>
      <c r="H571" s="84"/>
    </row>
    <row r="572">
      <c r="F572" s="64"/>
      <c r="G572" s="83"/>
      <c r="H572" s="84"/>
    </row>
    <row r="573">
      <c r="F573" s="64"/>
      <c r="G573" s="83"/>
      <c r="H573" s="84"/>
    </row>
    <row r="574">
      <c r="F574" s="64"/>
      <c r="G574" s="83"/>
      <c r="H574" s="84"/>
    </row>
    <row r="575">
      <c r="F575" s="64"/>
      <c r="G575" s="83"/>
      <c r="H575" s="84"/>
    </row>
    <row r="576">
      <c r="F576" s="64"/>
      <c r="G576" s="83"/>
      <c r="H576" s="84"/>
    </row>
    <row r="577">
      <c r="F577" s="64"/>
      <c r="G577" s="83"/>
      <c r="H577" s="84"/>
    </row>
    <row r="578">
      <c r="F578" s="64"/>
      <c r="G578" s="83"/>
      <c r="H578" s="84"/>
    </row>
    <row r="579">
      <c r="F579" s="64"/>
      <c r="G579" s="83"/>
      <c r="H579" s="84"/>
    </row>
    <row r="580">
      <c r="F580" s="64"/>
      <c r="G580" s="83"/>
      <c r="H580" s="84"/>
    </row>
    <row r="581">
      <c r="F581" s="64"/>
      <c r="G581" s="83"/>
      <c r="H581" s="84"/>
    </row>
    <row r="582">
      <c r="F582" s="64"/>
      <c r="G582" s="83"/>
      <c r="H582" s="84"/>
    </row>
    <row r="583">
      <c r="F583" s="64"/>
      <c r="G583" s="83"/>
      <c r="H583" s="84"/>
    </row>
    <row r="584">
      <c r="F584" s="64"/>
      <c r="G584" s="83"/>
      <c r="H584" s="84"/>
    </row>
    <row r="585">
      <c r="F585" s="64"/>
      <c r="G585" s="83"/>
      <c r="H585" s="84"/>
    </row>
    <row r="586">
      <c r="F586" s="64"/>
      <c r="G586" s="83"/>
      <c r="H586" s="84"/>
    </row>
    <row r="587">
      <c r="F587" s="64"/>
      <c r="G587" s="83"/>
      <c r="H587" s="84"/>
    </row>
    <row r="588">
      <c r="F588" s="64"/>
      <c r="G588" s="83"/>
      <c r="H588" s="84"/>
    </row>
    <row r="589">
      <c r="F589" s="64"/>
      <c r="G589" s="83"/>
      <c r="H589" s="84"/>
    </row>
    <row r="590">
      <c r="F590" s="64"/>
      <c r="G590" s="83"/>
      <c r="H590" s="84"/>
    </row>
    <row r="591">
      <c r="F591" s="64"/>
      <c r="G591" s="83"/>
      <c r="H591" s="84"/>
    </row>
    <row r="592">
      <c r="F592" s="64"/>
      <c r="G592" s="83"/>
      <c r="H592" s="84"/>
    </row>
    <row r="593">
      <c r="F593" s="64"/>
      <c r="G593" s="83"/>
      <c r="H593" s="84"/>
    </row>
    <row r="594">
      <c r="F594" s="64"/>
      <c r="G594" s="83"/>
      <c r="H594" s="84"/>
    </row>
    <row r="595">
      <c r="F595" s="64"/>
      <c r="G595" s="83"/>
      <c r="H595" s="84"/>
    </row>
    <row r="596">
      <c r="F596" s="64"/>
      <c r="G596" s="83"/>
      <c r="H596" s="84"/>
    </row>
    <row r="597">
      <c r="F597" s="64"/>
      <c r="G597" s="83"/>
      <c r="H597" s="84"/>
    </row>
    <row r="598">
      <c r="F598" s="64"/>
      <c r="G598" s="83"/>
      <c r="H598" s="84"/>
    </row>
    <row r="599">
      <c r="F599" s="64"/>
      <c r="G599" s="83"/>
      <c r="H599" s="84"/>
    </row>
    <row r="600">
      <c r="F600" s="64"/>
      <c r="G600" s="83"/>
      <c r="H600" s="84"/>
    </row>
    <row r="601">
      <c r="F601" s="64"/>
      <c r="G601" s="83"/>
      <c r="H601" s="84"/>
    </row>
    <row r="602">
      <c r="F602" s="64"/>
      <c r="G602" s="83"/>
      <c r="H602" s="84"/>
    </row>
    <row r="603">
      <c r="F603" s="64"/>
      <c r="G603" s="83"/>
      <c r="H603" s="84"/>
    </row>
    <row r="604">
      <c r="F604" s="64"/>
      <c r="G604" s="83"/>
      <c r="H604" s="84"/>
    </row>
    <row r="605">
      <c r="F605" s="64"/>
      <c r="G605" s="83"/>
      <c r="H605" s="84"/>
    </row>
    <row r="606">
      <c r="F606" s="64"/>
      <c r="G606" s="83"/>
      <c r="H606" s="84"/>
    </row>
    <row r="607">
      <c r="F607" s="64"/>
      <c r="G607" s="83"/>
      <c r="H607" s="84"/>
    </row>
    <row r="608">
      <c r="F608" s="64"/>
      <c r="G608" s="83"/>
      <c r="H608" s="84"/>
    </row>
    <row r="609">
      <c r="F609" s="64"/>
      <c r="G609" s="83"/>
      <c r="H609" s="84"/>
    </row>
    <row r="610">
      <c r="F610" s="64"/>
      <c r="G610" s="83"/>
      <c r="H610" s="84"/>
    </row>
    <row r="611">
      <c r="F611" s="64"/>
      <c r="G611" s="83"/>
      <c r="H611" s="84"/>
    </row>
    <row r="612">
      <c r="F612" s="64"/>
      <c r="G612" s="83"/>
      <c r="H612" s="84"/>
    </row>
    <row r="613">
      <c r="F613" s="64"/>
      <c r="G613" s="83"/>
      <c r="H613" s="84"/>
    </row>
    <row r="614">
      <c r="F614" s="64"/>
      <c r="G614" s="83"/>
      <c r="H614" s="84"/>
    </row>
    <row r="615">
      <c r="F615" s="64"/>
      <c r="G615" s="83"/>
      <c r="H615" s="84"/>
    </row>
    <row r="616">
      <c r="F616" s="64"/>
      <c r="G616" s="83"/>
      <c r="H616" s="84"/>
    </row>
    <row r="617">
      <c r="F617" s="64"/>
      <c r="G617" s="83"/>
      <c r="H617" s="84"/>
    </row>
    <row r="618">
      <c r="F618" s="64"/>
      <c r="G618" s="83"/>
      <c r="H618" s="84"/>
    </row>
    <row r="619">
      <c r="F619" s="64"/>
      <c r="G619" s="83"/>
      <c r="H619" s="84"/>
    </row>
    <row r="620">
      <c r="F620" s="64"/>
      <c r="G620" s="83"/>
      <c r="H620" s="84"/>
    </row>
    <row r="621">
      <c r="F621" s="64"/>
      <c r="G621" s="83"/>
      <c r="H621" s="84"/>
    </row>
    <row r="622">
      <c r="F622" s="64"/>
      <c r="G622" s="83"/>
      <c r="H622" s="84"/>
    </row>
    <row r="623">
      <c r="F623" s="64"/>
      <c r="G623" s="83"/>
      <c r="H623" s="84"/>
    </row>
    <row r="624">
      <c r="F624" s="64"/>
      <c r="G624" s="83"/>
      <c r="H624" s="84"/>
    </row>
    <row r="625">
      <c r="F625" s="64"/>
      <c r="G625" s="83"/>
      <c r="H625" s="84"/>
    </row>
    <row r="626">
      <c r="F626" s="64"/>
      <c r="G626" s="83"/>
      <c r="H626" s="84"/>
    </row>
    <row r="627">
      <c r="F627" s="64"/>
      <c r="G627" s="83"/>
      <c r="H627" s="84"/>
    </row>
    <row r="628">
      <c r="F628" s="64"/>
      <c r="G628" s="83"/>
      <c r="H628" s="84"/>
    </row>
    <row r="629">
      <c r="F629" s="64"/>
      <c r="G629" s="83"/>
      <c r="H629" s="84"/>
    </row>
    <row r="630">
      <c r="F630" s="64"/>
      <c r="G630" s="83"/>
      <c r="H630" s="84"/>
    </row>
    <row r="631">
      <c r="F631" s="64"/>
      <c r="G631" s="83"/>
      <c r="H631" s="84"/>
    </row>
    <row r="632">
      <c r="F632" s="64"/>
      <c r="G632" s="83"/>
      <c r="H632" s="84"/>
    </row>
    <row r="633">
      <c r="F633" s="64"/>
      <c r="G633" s="83"/>
      <c r="H633" s="84"/>
    </row>
    <row r="634">
      <c r="F634" s="64"/>
      <c r="G634" s="83"/>
      <c r="H634" s="84"/>
    </row>
    <row r="635">
      <c r="F635" s="64"/>
      <c r="G635" s="83"/>
      <c r="H635" s="84"/>
    </row>
    <row r="636">
      <c r="F636" s="64"/>
      <c r="G636" s="83"/>
      <c r="H636" s="84"/>
    </row>
    <row r="637">
      <c r="F637" s="64"/>
      <c r="G637" s="83"/>
      <c r="H637" s="84"/>
    </row>
    <row r="638">
      <c r="F638" s="64"/>
      <c r="G638" s="83"/>
      <c r="H638" s="84"/>
    </row>
    <row r="639">
      <c r="F639" s="64"/>
      <c r="G639" s="83"/>
      <c r="H639" s="84"/>
    </row>
    <row r="640">
      <c r="F640" s="64"/>
      <c r="G640" s="83"/>
      <c r="H640" s="84"/>
    </row>
    <row r="641">
      <c r="F641" s="64"/>
      <c r="G641" s="83"/>
      <c r="H641" s="84"/>
    </row>
    <row r="642">
      <c r="F642" s="64"/>
      <c r="G642" s="83"/>
      <c r="H642" s="84"/>
    </row>
    <row r="643">
      <c r="F643" s="64"/>
      <c r="G643" s="83"/>
      <c r="H643" s="84"/>
    </row>
    <row r="644">
      <c r="F644" s="64"/>
      <c r="G644" s="83"/>
      <c r="H644" s="84"/>
    </row>
    <row r="645">
      <c r="F645" s="64"/>
      <c r="G645" s="83"/>
      <c r="H645" s="84"/>
    </row>
    <row r="646">
      <c r="F646" s="64"/>
      <c r="G646" s="83"/>
      <c r="H646" s="84"/>
    </row>
    <row r="647">
      <c r="F647" s="64"/>
      <c r="G647" s="83"/>
      <c r="H647" s="84"/>
    </row>
    <row r="648">
      <c r="F648" s="64"/>
      <c r="G648" s="83"/>
      <c r="H648" s="84"/>
    </row>
    <row r="649">
      <c r="F649" s="64"/>
      <c r="G649" s="83"/>
      <c r="H649" s="84"/>
    </row>
    <row r="650">
      <c r="F650" s="64"/>
      <c r="G650" s="83"/>
      <c r="H650" s="84"/>
    </row>
    <row r="651">
      <c r="F651" s="64"/>
      <c r="G651" s="83"/>
      <c r="H651" s="84"/>
    </row>
    <row r="652">
      <c r="F652" s="64"/>
      <c r="G652" s="83"/>
      <c r="H652" s="84"/>
    </row>
    <row r="653">
      <c r="F653" s="64"/>
      <c r="G653" s="83"/>
      <c r="H653" s="84"/>
    </row>
    <row r="654">
      <c r="F654" s="64"/>
      <c r="G654" s="83"/>
      <c r="H654" s="84"/>
    </row>
    <row r="655">
      <c r="F655" s="64"/>
      <c r="G655" s="83"/>
      <c r="H655" s="84"/>
    </row>
    <row r="656">
      <c r="F656" s="64"/>
      <c r="G656" s="83"/>
      <c r="H656" s="84"/>
    </row>
    <row r="657">
      <c r="F657" s="64"/>
      <c r="G657" s="83"/>
      <c r="H657" s="84"/>
    </row>
    <row r="658">
      <c r="F658" s="64"/>
      <c r="G658" s="83"/>
      <c r="H658" s="84"/>
    </row>
    <row r="659">
      <c r="F659" s="64"/>
      <c r="G659" s="83"/>
      <c r="H659" s="84"/>
    </row>
    <row r="660">
      <c r="F660" s="64"/>
      <c r="G660" s="83"/>
      <c r="H660" s="84"/>
    </row>
    <row r="661">
      <c r="F661" s="64"/>
      <c r="G661" s="83"/>
      <c r="H661" s="84"/>
    </row>
    <row r="662">
      <c r="F662" s="64"/>
      <c r="G662" s="83"/>
      <c r="H662" s="84"/>
    </row>
    <row r="663">
      <c r="F663" s="64"/>
      <c r="G663" s="83"/>
      <c r="H663" s="84"/>
    </row>
    <row r="664">
      <c r="F664" s="64"/>
      <c r="G664" s="83"/>
      <c r="H664" s="84"/>
    </row>
    <row r="665">
      <c r="F665" s="64"/>
      <c r="G665" s="83"/>
      <c r="H665" s="84"/>
    </row>
    <row r="666">
      <c r="F666" s="64"/>
      <c r="G666" s="83"/>
      <c r="H666" s="84"/>
    </row>
    <row r="667">
      <c r="F667" s="64"/>
      <c r="G667" s="83"/>
      <c r="H667" s="84"/>
    </row>
    <row r="668">
      <c r="F668" s="64"/>
      <c r="G668" s="83"/>
      <c r="H668" s="84"/>
    </row>
    <row r="669">
      <c r="F669" s="64"/>
      <c r="G669" s="83"/>
      <c r="H669" s="84"/>
    </row>
    <row r="670">
      <c r="F670" s="64"/>
      <c r="G670" s="83"/>
      <c r="H670" s="84"/>
    </row>
    <row r="671">
      <c r="F671" s="64"/>
      <c r="G671" s="83"/>
      <c r="H671" s="84"/>
    </row>
    <row r="672">
      <c r="F672" s="64"/>
      <c r="G672" s="83"/>
      <c r="H672" s="84"/>
    </row>
    <row r="673">
      <c r="F673" s="64"/>
      <c r="G673" s="83"/>
      <c r="H673" s="84"/>
    </row>
    <row r="674">
      <c r="F674" s="64"/>
      <c r="G674" s="83"/>
      <c r="H674" s="84"/>
    </row>
    <row r="675">
      <c r="F675" s="64"/>
      <c r="G675" s="83"/>
      <c r="H675" s="84"/>
    </row>
    <row r="676">
      <c r="F676" s="64"/>
      <c r="G676" s="83"/>
      <c r="H676" s="84"/>
    </row>
    <row r="677">
      <c r="F677" s="64"/>
      <c r="G677" s="83"/>
      <c r="H677" s="84"/>
    </row>
    <row r="678">
      <c r="F678" s="64"/>
      <c r="G678" s="83"/>
      <c r="H678" s="84"/>
    </row>
    <row r="679">
      <c r="F679" s="64"/>
      <c r="G679" s="83"/>
      <c r="H679" s="84"/>
    </row>
    <row r="680">
      <c r="F680" s="64"/>
      <c r="G680" s="83"/>
      <c r="H680" s="84"/>
    </row>
    <row r="681">
      <c r="F681" s="64"/>
      <c r="G681" s="83"/>
      <c r="H681" s="84"/>
    </row>
    <row r="682">
      <c r="F682" s="64"/>
      <c r="G682" s="83"/>
      <c r="H682" s="84"/>
    </row>
    <row r="683">
      <c r="F683" s="64"/>
      <c r="G683" s="83"/>
      <c r="H683" s="84"/>
    </row>
    <row r="684">
      <c r="F684" s="64"/>
      <c r="G684" s="83"/>
      <c r="H684" s="84"/>
    </row>
    <row r="685">
      <c r="F685" s="64"/>
      <c r="G685" s="83"/>
      <c r="H685" s="84"/>
    </row>
    <row r="686">
      <c r="F686" s="64"/>
      <c r="G686" s="83"/>
      <c r="H686" s="84"/>
    </row>
    <row r="687">
      <c r="F687" s="64"/>
      <c r="G687" s="83"/>
      <c r="H687" s="84"/>
    </row>
    <row r="688">
      <c r="F688" s="64"/>
      <c r="G688" s="83"/>
      <c r="H688" s="84"/>
    </row>
    <row r="689">
      <c r="F689" s="64"/>
      <c r="G689" s="83"/>
      <c r="H689" s="84"/>
    </row>
    <row r="690">
      <c r="F690" s="64"/>
      <c r="G690" s="83"/>
      <c r="H690" s="84"/>
    </row>
    <row r="691">
      <c r="F691" s="64"/>
      <c r="G691" s="83"/>
      <c r="H691" s="84"/>
    </row>
    <row r="692">
      <c r="F692" s="64"/>
      <c r="G692" s="83"/>
      <c r="H692" s="84"/>
    </row>
    <row r="693">
      <c r="F693" s="64"/>
      <c r="G693" s="83"/>
      <c r="H693" s="84"/>
    </row>
    <row r="694">
      <c r="F694" s="64"/>
      <c r="G694" s="83"/>
      <c r="H694" s="84"/>
    </row>
    <row r="695">
      <c r="F695" s="64"/>
      <c r="G695" s="83"/>
      <c r="H695" s="84"/>
    </row>
    <row r="696">
      <c r="F696" s="64"/>
      <c r="G696" s="83"/>
      <c r="H696" s="84"/>
    </row>
    <row r="697">
      <c r="F697" s="64"/>
      <c r="G697" s="83"/>
      <c r="H697" s="84"/>
    </row>
    <row r="698">
      <c r="F698" s="64"/>
      <c r="G698" s="83"/>
      <c r="H698" s="84"/>
    </row>
    <row r="699">
      <c r="F699" s="64"/>
      <c r="G699" s="83"/>
      <c r="H699" s="84"/>
    </row>
    <row r="700">
      <c r="F700" s="64"/>
      <c r="G700" s="83"/>
      <c r="H700" s="84"/>
    </row>
    <row r="701">
      <c r="F701" s="64"/>
      <c r="G701" s="83"/>
      <c r="H701" s="84"/>
    </row>
    <row r="702">
      <c r="F702" s="64"/>
      <c r="G702" s="83"/>
      <c r="H702" s="84"/>
    </row>
    <row r="703">
      <c r="F703" s="64"/>
      <c r="G703" s="83"/>
      <c r="H703" s="84"/>
    </row>
    <row r="704">
      <c r="F704" s="64"/>
      <c r="G704" s="83"/>
      <c r="H704" s="84"/>
    </row>
    <row r="705">
      <c r="F705" s="64"/>
      <c r="G705" s="83"/>
      <c r="H705" s="84"/>
    </row>
    <row r="706">
      <c r="F706" s="64"/>
      <c r="G706" s="83"/>
      <c r="H706" s="84"/>
    </row>
    <row r="707">
      <c r="F707" s="64"/>
      <c r="G707" s="83"/>
      <c r="H707" s="84"/>
    </row>
    <row r="708">
      <c r="F708" s="64"/>
      <c r="G708" s="83"/>
      <c r="H708" s="84"/>
    </row>
    <row r="709">
      <c r="F709" s="64"/>
      <c r="G709" s="83"/>
      <c r="H709" s="84"/>
    </row>
    <row r="710">
      <c r="F710" s="64"/>
      <c r="G710" s="83"/>
      <c r="H710" s="84"/>
    </row>
    <row r="711">
      <c r="F711" s="64"/>
      <c r="G711" s="83"/>
      <c r="H711" s="84"/>
    </row>
    <row r="712">
      <c r="F712" s="64"/>
      <c r="G712" s="83"/>
      <c r="H712" s="84"/>
    </row>
    <row r="713">
      <c r="F713" s="64"/>
      <c r="G713" s="83"/>
      <c r="H713" s="84"/>
    </row>
    <row r="714">
      <c r="F714" s="64"/>
      <c r="G714" s="83"/>
      <c r="H714" s="84"/>
    </row>
    <row r="715">
      <c r="F715" s="64"/>
      <c r="G715" s="83"/>
      <c r="H715" s="84"/>
    </row>
    <row r="716">
      <c r="F716" s="64"/>
      <c r="G716" s="83"/>
      <c r="H716" s="84"/>
    </row>
    <row r="717">
      <c r="F717" s="64"/>
      <c r="G717" s="83"/>
      <c r="H717" s="84"/>
    </row>
    <row r="718">
      <c r="F718" s="64"/>
      <c r="G718" s="83"/>
      <c r="H718" s="84"/>
    </row>
    <row r="719">
      <c r="F719" s="64"/>
      <c r="G719" s="83"/>
      <c r="H719" s="84"/>
    </row>
    <row r="720">
      <c r="F720" s="64"/>
      <c r="G720" s="83"/>
      <c r="H720" s="84"/>
    </row>
    <row r="721">
      <c r="F721" s="64"/>
      <c r="G721" s="83"/>
      <c r="H721" s="84"/>
    </row>
    <row r="722">
      <c r="F722" s="64"/>
      <c r="G722" s="83"/>
      <c r="H722" s="84"/>
    </row>
    <row r="723">
      <c r="F723" s="64"/>
      <c r="G723" s="83"/>
      <c r="H723" s="84"/>
    </row>
    <row r="724">
      <c r="F724" s="64"/>
      <c r="G724" s="83"/>
      <c r="H724" s="84"/>
    </row>
    <row r="725">
      <c r="F725" s="64"/>
      <c r="G725" s="83"/>
      <c r="H725" s="84"/>
    </row>
    <row r="726">
      <c r="F726" s="64"/>
      <c r="G726" s="83"/>
      <c r="H726" s="84"/>
    </row>
    <row r="727">
      <c r="F727" s="64"/>
      <c r="G727" s="83"/>
      <c r="H727" s="84"/>
    </row>
    <row r="728">
      <c r="F728" s="64"/>
      <c r="G728" s="83"/>
      <c r="H728" s="84"/>
    </row>
    <row r="729">
      <c r="F729" s="64"/>
      <c r="G729" s="83"/>
      <c r="H729" s="84"/>
    </row>
    <row r="730">
      <c r="F730" s="64"/>
      <c r="G730" s="83"/>
      <c r="H730" s="84"/>
    </row>
    <row r="731">
      <c r="F731" s="64"/>
      <c r="G731" s="83"/>
      <c r="H731" s="84"/>
    </row>
    <row r="732">
      <c r="F732" s="64"/>
      <c r="G732" s="83"/>
      <c r="H732" s="84"/>
    </row>
    <row r="733">
      <c r="F733" s="64"/>
      <c r="G733" s="83"/>
      <c r="H733" s="84"/>
    </row>
    <row r="734">
      <c r="F734" s="64"/>
      <c r="G734" s="83"/>
      <c r="H734" s="84"/>
    </row>
    <row r="735">
      <c r="F735" s="64"/>
      <c r="G735" s="83"/>
      <c r="H735" s="84"/>
    </row>
    <row r="736">
      <c r="F736" s="64"/>
      <c r="G736" s="83"/>
      <c r="H736" s="84"/>
    </row>
    <row r="737">
      <c r="F737" s="64"/>
      <c r="G737" s="83"/>
      <c r="H737" s="84"/>
    </row>
    <row r="738">
      <c r="F738" s="64"/>
      <c r="G738" s="83"/>
      <c r="H738" s="84"/>
    </row>
    <row r="739">
      <c r="F739" s="64"/>
      <c r="G739" s="83"/>
      <c r="H739" s="84"/>
    </row>
    <row r="740">
      <c r="F740" s="64"/>
      <c r="G740" s="83"/>
      <c r="H740" s="84"/>
    </row>
    <row r="741">
      <c r="F741" s="64"/>
      <c r="G741" s="83"/>
      <c r="H741" s="84"/>
    </row>
    <row r="742">
      <c r="F742" s="64"/>
      <c r="G742" s="83"/>
      <c r="H742" s="84"/>
    </row>
    <row r="743">
      <c r="F743" s="64"/>
      <c r="G743" s="83"/>
      <c r="H743" s="84"/>
    </row>
    <row r="744">
      <c r="F744" s="64"/>
      <c r="G744" s="83"/>
      <c r="H744" s="84"/>
    </row>
    <row r="745">
      <c r="F745" s="64"/>
      <c r="G745" s="83"/>
      <c r="H745" s="84"/>
    </row>
    <row r="746">
      <c r="F746" s="64"/>
      <c r="G746" s="83"/>
      <c r="H746" s="84"/>
    </row>
    <row r="747">
      <c r="F747" s="64"/>
      <c r="G747" s="83"/>
      <c r="H747" s="84"/>
    </row>
    <row r="748">
      <c r="F748" s="64"/>
      <c r="G748" s="83"/>
      <c r="H748" s="84"/>
    </row>
    <row r="749">
      <c r="F749" s="64"/>
      <c r="G749" s="83"/>
      <c r="H749" s="84"/>
    </row>
    <row r="750">
      <c r="F750" s="64"/>
      <c r="G750" s="83"/>
      <c r="H750" s="84"/>
    </row>
    <row r="751">
      <c r="F751" s="64"/>
      <c r="G751" s="83"/>
      <c r="H751" s="84"/>
    </row>
    <row r="752">
      <c r="F752" s="64"/>
      <c r="G752" s="83"/>
      <c r="H752" s="84"/>
    </row>
    <row r="753">
      <c r="F753" s="64"/>
      <c r="G753" s="83"/>
      <c r="H753" s="84"/>
    </row>
    <row r="754">
      <c r="F754" s="64"/>
      <c r="G754" s="83"/>
      <c r="H754" s="84"/>
    </row>
    <row r="755">
      <c r="F755" s="64"/>
      <c r="G755" s="83"/>
      <c r="H755" s="84"/>
    </row>
    <row r="756">
      <c r="F756" s="64"/>
      <c r="G756" s="83"/>
      <c r="H756" s="84"/>
    </row>
    <row r="757">
      <c r="F757" s="64"/>
      <c r="G757" s="83"/>
      <c r="H757" s="84"/>
    </row>
    <row r="758">
      <c r="F758" s="64"/>
      <c r="G758" s="83"/>
      <c r="H758" s="84"/>
    </row>
    <row r="759">
      <c r="F759" s="64"/>
      <c r="G759" s="83"/>
      <c r="H759" s="84"/>
    </row>
    <row r="760">
      <c r="F760" s="64"/>
      <c r="G760" s="83"/>
      <c r="H760" s="84"/>
    </row>
    <row r="761">
      <c r="F761" s="64"/>
      <c r="G761" s="83"/>
      <c r="H761" s="84"/>
    </row>
    <row r="762">
      <c r="F762" s="64"/>
      <c r="G762" s="83"/>
      <c r="H762" s="84"/>
    </row>
    <row r="763">
      <c r="F763" s="64"/>
      <c r="G763" s="83"/>
      <c r="H763" s="84"/>
    </row>
    <row r="764">
      <c r="F764" s="64"/>
      <c r="G764" s="83"/>
      <c r="H764" s="84"/>
    </row>
    <row r="765">
      <c r="F765" s="64"/>
      <c r="G765" s="83"/>
      <c r="H765" s="84"/>
    </row>
    <row r="766">
      <c r="F766" s="64"/>
      <c r="G766" s="83"/>
      <c r="H766" s="84"/>
    </row>
    <row r="767">
      <c r="F767" s="64"/>
      <c r="G767" s="83"/>
      <c r="H767" s="84"/>
    </row>
    <row r="768">
      <c r="F768" s="64"/>
      <c r="G768" s="83"/>
      <c r="H768" s="84"/>
    </row>
    <row r="769">
      <c r="F769" s="64"/>
      <c r="G769" s="83"/>
      <c r="H769" s="84"/>
    </row>
    <row r="770">
      <c r="F770" s="64"/>
      <c r="G770" s="83"/>
      <c r="H770" s="84"/>
    </row>
    <row r="771">
      <c r="F771" s="64"/>
      <c r="G771" s="83"/>
      <c r="H771" s="84"/>
    </row>
    <row r="772">
      <c r="F772" s="64"/>
      <c r="G772" s="83"/>
      <c r="H772" s="84"/>
    </row>
    <row r="773">
      <c r="F773" s="64"/>
      <c r="G773" s="83"/>
      <c r="H773" s="84"/>
    </row>
    <row r="774">
      <c r="F774" s="64"/>
      <c r="G774" s="83"/>
      <c r="H774" s="84"/>
    </row>
    <row r="775">
      <c r="F775" s="64"/>
      <c r="G775" s="83"/>
      <c r="H775" s="84"/>
    </row>
    <row r="776">
      <c r="F776" s="64"/>
      <c r="G776" s="83"/>
      <c r="H776" s="84"/>
    </row>
    <row r="777">
      <c r="F777" s="64"/>
      <c r="G777" s="83"/>
      <c r="H777" s="84"/>
    </row>
    <row r="778">
      <c r="F778" s="64"/>
      <c r="G778" s="83"/>
      <c r="H778" s="84"/>
    </row>
    <row r="779">
      <c r="F779" s="64"/>
      <c r="G779" s="83"/>
      <c r="H779" s="84"/>
    </row>
    <row r="780">
      <c r="F780" s="64"/>
      <c r="G780" s="83"/>
      <c r="H780" s="84"/>
    </row>
    <row r="781">
      <c r="F781" s="64"/>
      <c r="G781" s="83"/>
      <c r="H781" s="84"/>
    </row>
    <row r="782">
      <c r="F782" s="64"/>
      <c r="G782" s="83"/>
      <c r="H782" s="84"/>
    </row>
    <row r="783">
      <c r="F783" s="64"/>
      <c r="G783" s="83"/>
      <c r="H783" s="84"/>
    </row>
    <row r="784">
      <c r="F784" s="64"/>
      <c r="G784" s="83"/>
      <c r="H784" s="84"/>
    </row>
    <row r="785">
      <c r="F785" s="64"/>
      <c r="G785" s="83"/>
      <c r="H785" s="84"/>
    </row>
    <row r="786">
      <c r="F786" s="64"/>
      <c r="G786" s="83"/>
      <c r="H786" s="84"/>
    </row>
    <row r="787">
      <c r="F787" s="64"/>
      <c r="G787" s="83"/>
      <c r="H787" s="84"/>
    </row>
    <row r="788">
      <c r="F788" s="64"/>
      <c r="G788" s="83"/>
      <c r="H788" s="84"/>
    </row>
    <row r="789">
      <c r="F789" s="64"/>
      <c r="G789" s="83"/>
      <c r="H789" s="84"/>
    </row>
    <row r="790">
      <c r="F790" s="64"/>
      <c r="G790" s="83"/>
      <c r="H790" s="84"/>
    </row>
    <row r="791">
      <c r="F791" s="64"/>
      <c r="G791" s="83"/>
      <c r="H791" s="84"/>
    </row>
    <row r="792">
      <c r="F792" s="64"/>
      <c r="G792" s="83"/>
      <c r="H792" s="84"/>
    </row>
    <row r="793">
      <c r="F793" s="64"/>
      <c r="G793" s="83"/>
      <c r="H793" s="84"/>
    </row>
    <row r="794">
      <c r="F794" s="64"/>
      <c r="G794" s="83"/>
      <c r="H794" s="84"/>
    </row>
    <row r="795">
      <c r="F795" s="64"/>
      <c r="G795" s="83"/>
      <c r="H795" s="84"/>
    </row>
    <row r="796">
      <c r="F796" s="64"/>
      <c r="G796" s="83"/>
      <c r="H796" s="84"/>
    </row>
    <row r="797">
      <c r="F797" s="64"/>
      <c r="G797" s="83"/>
      <c r="H797" s="84"/>
    </row>
    <row r="798">
      <c r="F798" s="64"/>
      <c r="G798" s="83"/>
      <c r="H798" s="84"/>
    </row>
    <row r="799">
      <c r="F799" s="64"/>
      <c r="G799" s="83"/>
      <c r="H799" s="84"/>
    </row>
    <row r="800">
      <c r="F800" s="64"/>
      <c r="G800" s="83"/>
      <c r="H800" s="84"/>
    </row>
    <row r="801">
      <c r="F801" s="64"/>
      <c r="G801" s="83"/>
      <c r="H801" s="84"/>
    </row>
    <row r="802">
      <c r="F802" s="64"/>
      <c r="G802" s="83"/>
      <c r="H802" s="84"/>
    </row>
    <row r="803">
      <c r="F803" s="64"/>
      <c r="G803" s="83"/>
      <c r="H803" s="84"/>
    </row>
    <row r="804">
      <c r="F804" s="64"/>
      <c r="G804" s="83"/>
      <c r="H804" s="84"/>
    </row>
    <row r="805">
      <c r="F805" s="64"/>
      <c r="G805" s="83"/>
      <c r="H805" s="84"/>
    </row>
    <row r="806">
      <c r="F806" s="64"/>
      <c r="G806" s="83"/>
      <c r="H806" s="84"/>
    </row>
    <row r="807">
      <c r="F807" s="64"/>
      <c r="G807" s="83"/>
      <c r="H807" s="84"/>
    </row>
    <row r="808">
      <c r="F808" s="64"/>
      <c r="G808" s="83"/>
      <c r="H808" s="84"/>
    </row>
    <row r="809">
      <c r="F809" s="64"/>
      <c r="G809" s="83"/>
      <c r="H809" s="84"/>
    </row>
    <row r="810">
      <c r="F810" s="64"/>
      <c r="G810" s="83"/>
      <c r="H810" s="84"/>
    </row>
    <row r="811">
      <c r="F811" s="64"/>
      <c r="G811" s="83"/>
      <c r="H811" s="84"/>
    </row>
    <row r="812">
      <c r="F812" s="64"/>
      <c r="G812" s="83"/>
      <c r="H812" s="84"/>
    </row>
    <row r="813">
      <c r="F813" s="64"/>
      <c r="G813" s="83"/>
      <c r="H813" s="84"/>
    </row>
    <row r="814">
      <c r="F814" s="64"/>
      <c r="G814" s="83"/>
      <c r="H814" s="84"/>
    </row>
    <row r="815">
      <c r="F815" s="64"/>
      <c r="G815" s="83"/>
      <c r="H815" s="84"/>
    </row>
    <row r="816">
      <c r="F816" s="64"/>
      <c r="G816" s="83"/>
      <c r="H816" s="84"/>
    </row>
    <row r="817">
      <c r="F817" s="64"/>
      <c r="G817" s="83"/>
      <c r="H817" s="84"/>
    </row>
    <row r="818">
      <c r="F818" s="64"/>
      <c r="G818" s="83"/>
      <c r="H818" s="84"/>
    </row>
    <row r="819">
      <c r="F819" s="64"/>
      <c r="G819" s="83"/>
      <c r="H819" s="84"/>
    </row>
    <row r="820">
      <c r="F820" s="64"/>
      <c r="G820" s="83"/>
      <c r="H820" s="84"/>
    </row>
    <row r="821">
      <c r="F821" s="64"/>
      <c r="G821" s="83"/>
      <c r="H821" s="84"/>
    </row>
    <row r="822">
      <c r="F822" s="64"/>
      <c r="G822" s="83"/>
      <c r="H822" s="84"/>
    </row>
    <row r="823">
      <c r="F823" s="64"/>
      <c r="G823" s="83"/>
      <c r="H823" s="84"/>
    </row>
    <row r="824">
      <c r="F824" s="64"/>
      <c r="G824" s="83"/>
      <c r="H824" s="84"/>
    </row>
    <row r="825">
      <c r="F825" s="64"/>
      <c r="G825" s="83"/>
      <c r="H825" s="84"/>
    </row>
    <row r="826">
      <c r="F826" s="64"/>
      <c r="G826" s="83"/>
      <c r="H826" s="84"/>
    </row>
    <row r="827">
      <c r="F827" s="64"/>
      <c r="G827" s="83"/>
      <c r="H827" s="84"/>
    </row>
    <row r="828">
      <c r="F828" s="64"/>
      <c r="G828" s="83"/>
      <c r="H828" s="84"/>
    </row>
    <row r="829">
      <c r="F829" s="64"/>
      <c r="G829" s="83"/>
      <c r="H829" s="84"/>
    </row>
    <row r="830">
      <c r="F830" s="64"/>
      <c r="G830" s="83"/>
      <c r="H830" s="84"/>
    </row>
    <row r="831">
      <c r="F831" s="64"/>
      <c r="G831" s="83"/>
      <c r="H831" s="84"/>
    </row>
    <row r="832">
      <c r="F832" s="64"/>
      <c r="G832" s="83"/>
      <c r="H832" s="84"/>
    </row>
    <row r="833">
      <c r="F833" s="64"/>
      <c r="G833" s="83"/>
      <c r="H833" s="84"/>
    </row>
    <row r="834">
      <c r="F834" s="64"/>
      <c r="G834" s="83"/>
      <c r="H834" s="84"/>
    </row>
    <row r="835">
      <c r="F835" s="64"/>
      <c r="G835" s="83"/>
      <c r="H835" s="84"/>
    </row>
    <row r="836">
      <c r="F836" s="64"/>
      <c r="G836" s="83"/>
      <c r="H836" s="84"/>
    </row>
    <row r="837">
      <c r="F837" s="64"/>
      <c r="G837" s="83"/>
      <c r="H837" s="84"/>
    </row>
    <row r="838">
      <c r="F838" s="64"/>
      <c r="G838" s="83"/>
      <c r="H838" s="84"/>
    </row>
    <row r="839">
      <c r="F839" s="64"/>
      <c r="G839" s="83"/>
      <c r="H839" s="84"/>
    </row>
    <row r="840">
      <c r="F840" s="64"/>
      <c r="G840" s="83"/>
      <c r="H840" s="84"/>
    </row>
    <row r="841">
      <c r="F841" s="64"/>
      <c r="G841" s="83"/>
      <c r="H841" s="84"/>
    </row>
    <row r="842">
      <c r="F842" s="64"/>
      <c r="G842" s="83"/>
      <c r="H842" s="84"/>
    </row>
    <row r="843">
      <c r="F843" s="64"/>
      <c r="G843" s="83"/>
      <c r="H843" s="84"/>
    </row>
    <row r="844">
      <c r="F844" s="64"/>
      <c r="G844" s="83"/>
      <c r="H844" s="84"/>
    </row>
    <row r="845">
      <c r="F845" s="64"/>
      <c r="G845" s="83"/>
      <c r="H845" s="84"/>
    </row>
    <row r="846">
      <c r="F846" s="64"/>
      <c r="G846" s="83"/>
      <c r="H846" s="84"/>
    </row>
    <row r="847">
      <c r="F847" s="64"/>
      <c r="G847" s="83"/>
      <c r="H847" s="84"/>
    </row>
    <row r="848">
      <c r="F848" s="64"/>
      <c r="G848" s="83"/>
      <c r="H848" s="84"/>
    </row>
    <row r="849">
      <c r="F849" s="64"/>
      <c r="G849" s="83"/>
      <c r="H849" s="84"/>
    </row>
    <row r="850">
      <c r="F850" s="64"/>
      <c r="G850" s="83"/>
      <c r="H850" s="84"/>
    </row>
    <row r="851">
      <c r="F851" s="64"/>
      <c r="G851" s="83"/>
      <c r="H851" s="84"/>
    </row>
    <row r="852">
      <c r="F852" s="64"/>
      <c r="G852" s="83"/>
      <c r="H852" s="84"/>
    </row>
    <row r="853">
      <c r="F853" s="64"/>
      <c r="G853" s="83"/>
      <c r="H853" s="84"/>
    </row>
    <row r="854">
      <c r="F854" s="64"/>
      <c r="G854" s="83"/>
      <c r="H854" s="84"/>
    </row>
    <row r="855">
      <c r="F855" s="64"/>
      <c r="G855" s="83"/>
      <c r="H855" s="84"/>
    </row>
    <row r="856">
      <c r="F856" s="64"/>
      <c r="G856" s="83"/>
      <c r="H856" s="84"/>
    </row>
    <row r="857">
      <c r="F857" s="64"/>
      <c r="G857" s="83"/>
      <c r="H857" s="84"/>
    </row>
    <row r="858">
      <c r="F858" s="64"/>
      <c r="G858" s="83"/>
      <c r="H858" s="84"/>
    </row>
    <row r="859">
      <c r="F859" s="64"/>
      <c r="G859" s="83"/>
      <c r="H859" s="84"/>
    </row>
    <row r="860">
      <c r="F860" s="64"/>
      <c r="G860" s="83"/>
      <c r="H860" s="84"/>
    </row>
    <row r="861">
      <c r="F861" s="64"/>
      <c r="G861" s="83"/>
      <c r="H861" s="84"/>
    </row>
    <row r="862">
      <c r="F862" s="64"/>
      <c r="G862" s="83"/>
      <c r="H862" s="84"/>
    </row>
    <row r="863">
      <c r="F863" s="64"/>
      <c r="G863" s="83"/>
      <c r="H863" s="84"/>
    </row>
    <row r="864">
      <c r="F864" s="64"/>
      <c r="G864" s="83"/>
      <c r="H864" s="84"/>
    </row>
    <row r="865">
      <c r="F865" s="64"/>
      <c r="G865" s="83"/>
      <c r="H865" s="84"/>
    </row>
    <row r="866">
      <c r="F866" s="64"/>
      <c r="G866" s="83"/>
      <c r="H866" s="84"/>
    </row>
    <row r="867">
      <c r="F867" s="64"/>
      <c r="G867" s="83"/>
      <c r="H867" s="84"/>
    </row>
    <row r="868">
      <c r="F868" s="64"/>
      <c r="G868" s="83"/>
      <c r="H868" s="84"/>
    </row>
    <row r="869">
      <c r="F869" s="64"/>
      <c r="G869" s="83"/>
      <c r="H869" s="84"/>
    </row>
    <row r="870">
      <c r="F870" s="64"/>
      <c r="G870" s="83"/>
      <c r="H870" s="84"/>
    </row>
    <row r="871">
      <c r="F871" s="64"/>
      <c r="G871" s="83"/>
      <c r="H871" s="84"/>
    </row>
    <row r="872">
      <c r="F872" s="64"/>
      <c r="G872" s="83"/>
      <c r="H872" s="84"/>
    </row>
    <row r="873">
      <c r="F873" s="64"/>
      <c r="G873" s="83"/>
      <c r="H873" s="84"/>
    </row>
    <row r="874">
      <c r="F874" s="64"/>
      <c r="G874" s="83"/>
      <c r="H874" s="84"/>
    </row>
    <row r="875">
      <c r="F875" s="64"/>
      <c r="G875" s="83"/>
      <c r="H875" s="84"/>
    </row>
    <row r="876">
      <c r="F876" s="64"/>
      <c r="G876" s="83"/>
      <c r="H876" s="84"/>
    </row>
    <row r="877">
      <c r="F877" s="64"/>
      <c r="G877" s="83"/>
      <c r="H877" s="84"/>
    </row>
    <row r="878">
      <c r="F878" s="64"/>
      <c r="G878" s="83"/>
      <c r="H878" s="84"/>
    </row>
    <row r="879">
      <c r="F879" s="64"/>
      <c r="G879" s="83"/>
      <c r="H879" s="84"/>
    </row>
    <row r="880">
      <c r="F880" s="64"/>
      <c r="G880" s="83"/>
      <c r="H880" s="84"/>
    </row>
    <row r="881">
      <c r="F881" s="64"/>
      <c r="G881" s="83"/>
      <c r="H881" s="84"/>
    </row>
    <row r="882">
      <c r="F882" s="64"/>
      <c r="G882" s="83"/>
      <c r="H882" s="84"/>
    </row>
    <row r="883">
      <c r="F883" s="64"/>
      <c r="G883" s="83"/>
      <c r="H883" s="84"/>
    </row>
    <row r="884">
      <c r="F884" s="64"/>
      <c r="G884" s="83"/>
      <c r="H884" s="84"/>
    </row>
    <row r="885">
      <c r="F885" s="64"/>
      <c r="G885" s="83"/>
      <c r="H885" s="84"/>
    </row>
    <row r="886">
      <c r="F886" s="64"/>
      <c r="G886" s="83"/>
      <c r="H886" s="84"/>
    </row>
    <row r="887">
      <c r="F887" s="64"/>
      <c r="G887" s="83"/>
      <c r="H887" s="84"/>
    </row>
    <row r="888">
      <c r="F888" s="64"/>
      <c r="G888" s="83"/>
      <c r="H888" s="84"/>
    </row>
    <row r="889">
      <c r="F889" s="64"/>
      <c r="G889" s="83"/>
      <c r="H889" s="84"/>
    </row>
    <row r="890">
      <c r="F890" s="64"/>
      <c r="G890" s="83"/>
      <c r="H890" s="84"/>
    </row>
    <row r="891">
      <c r="F891" s="64"/>
      <c r="G891" s="83"/>
      <c r="H891" s="84"/>
    </row>
    <row r="892">
      <c r="F892" s="64"/>
      <c r="G892" s="83"/>
      <c r="H892" s="84"/>
    </row>
    <row r="893">
      <c r="F893" s="64"/>
      <c r="G893" s="83"/>
      <c r="H893" s="84"/>
    </row>
    <row r="894">
      <c r="F894" s="64"/>
      <c r="G894" s="83"/>
      <c r="H894" s="84"/>
    </row>
    <row r="895">
      <c r="F895" s="64"/>
      <c r="G895" s="83"/>
      <c r="H895" s="84"/>
    </row>
    <row r="896">
      <c r="F896" s="64"/>
      <c r="G896" s="83"/>
      <c r="H896" s="84"/>
    </row>
    <row r="897">
      <c r="F897" s="64"/>
      <c r="G897" s="83"/>
      <c r="H897" s="84"/>
    </row>
    <row r="898">
      <c r="F898" s="64"/>
      <c r="G898" s="83"/>
      <c r="H898" s="84"/>
    </row>
    <row r="899">
      <c r="F899" s="64"/>
      <c r="G899" s="83"/>
      <c r="H899" s="84"/>
    </row>
    <row r="900">
      <c r="F900" s="64"/>
      <c r="G900" s="83"/>
      <c r="H900" s="84"/>
    </row>
    <row r="901">
      <c r="F901" s="64"/>
      <c r="G901" s="83"/>
      <c r="H901" s="84"/>
    </row>
    <row r="902">
      <c r="F902" s="64"/>
      <c r="G902" s="83"/>
      <c r="H902" s="84"/>
    </row>
    <row r="903">
      <c r="F903" s="64"/>
      <c r="G903" s="83"/>
      <c r="H903" s="84"/>
    </row>
    <row r="904">
      <c r="F904" s="64"/>
      <c r="G904" s="83"/>
      <c r="H904" s="84"/>
    </row>
    <row r="905">
      <c r="F905" s="64"/>
      <c r="G905" s="83"/>
      <c r="H905" s="84"/>
    </row>
    <row r="906">
      <c r="F906" s="64"/>
      <c r="G906" s="83"/>
      <c r="H906" s="84"/>
    </row>
    <row r="907">
      <c r="F907" s="64"/>
      <c r="G907" s="83"/>
      <c r="H907" s="84"/>
    </row>
    <row r="908">
      <c r="F908" s="64"/>
      <c r="G908" s="83"/>
      <c r="H908" s="84"/>
    </row>
    <row r="909">
      <c r="F909" s="64"/>
      <c r="G909" s="83"/>
      <c r="H909" s="84"/>
    </row>
    <row r="910">
      <c r="F910" s="64"/>
      <c r="G910" s="83"/>
      <c r="H910" s="84"/>
    </row>
    <row r="911">
      <c r="F911" s="64"/>
      <c r="G911" s="83"/>
      <c r="H911" s="84"/>
    </row>
    <row r="912">
      <c r="F912" s="64"/>
      <c r="G912" s="83"/>
      <c r="H912" s="84"/>
    </row>
    <row r="913">
      <c r="F913" s="64"/>
      <c r="G913" s="83"/>
      <c r="H913" s="84"/>
    </row>
    <row r="914">
      <c r="F914" s="64"/>
      <c r="G914" s="83"/>
      <c r="H914" s="84"/>
    </row>
    <row r="915">
      <c r="F915" s="64"/>
      <c r="G915" s="83"/>
      <c r="H915" s="84"/>
    </row>
    <row r="916">
      <c r="F916" s="64"/>
      <c r="G916" s="83"/>
      <c r="H916" s="84"/>
    </row>
    <row r="917">
      <c r="F917" s="64"/>
      <c r="G917" s="83"/>
      <c r="H917" s="84"/>
    </row>
    <row r="918">
      <c r="F918" s="64"/>
      <c r="G918" s="83"/>
      <c r="H918" s="84"/>
    </row>
    <row r="919">
      <c r="F919" s="64"/>
      <c r="G919" s="83"/>
      <c r="H919" s="84"/>
    </row>
    <row r="920">
      <c r="F920" s="64"/>
      <c r="G920" s="83"/>
      <c r="H920" s="84"/>
    </row>
    <row r="921">
      <c r="F921" s="64"/>
      <c r="G921" s="83"/>
      <c r="H921" s="84"/>
    </row>
    <row r="922">
      <c r="F922" s="64"/>
      <c r="G922" s="83"/>
      <c r="H922" s="84"/>
    </row>
    <row r="923">
      <c r="F923" s="64"/>
      <c r="G923" s="83"/>
      <c r="H923" s="84"/>
    </row>
    <row r="924">
      <c r="F924" s="64"/>
      <c r="G924" s="83"/>
      <c r="H924" s="84"/>
    </row>
    <row r="925">
      <c r="F925" s="64"/>
      <c r="G925" s="83"/>
      <c r="H925" s="84"/>
    </row>
    <row r="926">
      <c r="F926" s="64"/>
      <c r="G926" s="83"/>
      <c r="H926" s="84"/>
    </row>
    <row r="927">
      <c r="F927" s="64"/>
      <c r="G927" s="83"/>
      <c r="H927" s="84"/>
    </row>
    <row r="928">
      <c r="F928" s="64"/>
      <c r="G928" s="83"/>
      <c r="H928" s="84"/>
    </row>
    <row r="929">
      <c r="F929" s="64"/>
      <c r="G929" s="83"/>
      <c r="H929" s="84"/>
    </row>
    <row r="930">
      <c r="F930" s="64"/>
      <c r="G930" s="83"/>
      <c r="H930" s="84"/>
    </row>
    <row r="931">
      <c r="F931" s="64"/>
      <c r="G931" s="83"/>
      <c r="H931" s="84"/>
    </row>
    <row r="932">
      <c r="F932" s="64"/>
      <c r="G932" s="83"/>
      <c r="H932" s="84"/>
    </row>
    <row r="933">
      <c r="F933" s="64"/>
      <c r="G933" s="83"/>
      <c r="H933" s="84"/>
    </row>
    <row r="934">
      <c r="F934" s="64"/>
      <c r="G934" s="83"/>
      <c r="H934" s="84"/>
    </row>
    <row r="935">
      <c r="F935" s="64"/>
      <c r="G935" s="83"/>
      <c r="H935" s="84"/>
    </row>
    <row r="936">
      <c r="F936" s="64"/>
      <c r="G936" s="83"/>
      <c r="H936" s="84"/>
    </row>
    <row r="937">
      <c r="F937" s="64"/>
      <c r="G937" s="83"/>
      <c r="H937" s="84"/>
    </row>
    <row r="938">
      <c r="F938" s="64"/>
      <c r="G938" s="83"/>
      <c r="H938" s="84"/>
    </row>
    <row r="939">
      <c r="F939" s="64"/>
      <c r="G939" s="83"/>
      <c r="H939" s="84"/>
    </row>
    <row r="940">
      <c r="F940" s="64"/>
      <c r="G940" s="83"/>
      <c r="H940" s="84"/>
    </row>
    <row r="941">
      <c r="F941" s="64"/>
      <c r="G941" s="83"/>
      <c r="H941" s="84"/>
    </row>
    <row r="942">
      <c r="F942" s="64"/>
      <c r="G942" s="83"/>
      <c r="H942" s="84"/>
    </row>
    <row r="943">
      <c r="F943" s="64"/>
      <c r="G943" s="83"/>
      <c r="H943" s="84"/>
    </row>
    <row r="944">
      <c r="F944" s="64"/>
      <c r="G944" s="83"/>
      <c r="H944" s="84"/>
    </row>
    <row r="945">
      <c r="F945" s="64"/>
      <c r="G945" s="83"/>
      <c r="H945" s="84"/>
    </row>
    <row r="946">
      <c r="F946" s="64"/>
      <c r="G946" s="83"/>
      <c r="H946" s="84"/>
    </row>
    <row r="947">
      <c r="F947" s="64"/>
      <c r="G947" s="83"/>
      <c r="H947" s="84"/>
    </row>
    <row r="948">
      <c r="F948" s="64"/>
      <c r="G948" s="83"/>
      <c r="H948" s="84"/>
    </row>
    <row r="949">
      <c r="F949" s="64"/>
      <c r="G949" s="83"/>
      <c r="H949" s="84"/>
    </row>
    <row r="950">
      <c r="F950" s="64"/>
      <c r="G950" s="83"/>
      <c r="H950" s="84"/>
    </row>
    <row r="951">
      <c r="F951" s="64"/>
      <c r="G951" s="83"/>
      <c r="H951" s="84"/>
    </row>
    <row r="952">
      <c r="F952" s="64"/>
      <c r="G952" s="83"/>
      <c r="H952" s="84"/>
    </row>
    <row r="953">
      <c r="F953" s="64"/>
      <c r="G953" s="83"/>
      <c r="H953" s="84"/>
    </row>
    <row r="954">
      <c r="F954" s="64"/>
      <c r="G954" s="83"/>
      <c r="H954" s="84"/>
    </row>
    <row r="955">
      <c r="F955" s="64"/>
      <c r="G955" s="83"/>
      <c r="H955" s="84"/>
    </row>
    <row r="956">
      <c r="F956" s="64"/>
      <c r="G956" s="83"/>
      <c r="H956" s="84"/>
    </row>
    <row r="957">
      <c r="F957" s="64"/>
      <c r="G957" s="83"/>
      <c r="H957" s="84"/>
    </row>
    <row r="958">
      <c r="F958" s="64"/>
      <c r="G958" s="83"/>
      <c r="H958" s="84"/>
    </row>
    <row r="959">
      <c r="F959" s="64"/>
      <c r="G959" s="83"/>
      <c r="H959" s="84"/>
    </row>
    <row r="960">
      <c r="F960" s="64"/>
      <c r="G960" s="83"/>
      <c r="H960" s="84"/>
    </row>
    <row r="961">
      <c r="F961" s="64"/>
      <c r="G961" s="83"/>
      <c r="H961" s="84"/>
    </row>
    <row r="962">
      <c r="F962" s="64"/>
      <c r="G962" s="83"/>
      <c r="H962" s="84"/>
    </row>
    <row r="963">
      <c r="F963" s="64"/>
      <c r="G963" s="83"/>
      <c r="H963" s="84"/>
    </row>
    <row r="964">
      <c r="F964" s="64"/>
      <c r="G964" s="83"/>
      <c r="H964" s="84"/>
    </row>
    <row r="965">
      <c r="F965" s="64"/>
      <c r="G965" s="83"/>
      <c r="H965" s="84"/>
    </row>
    <row r="966">
      <c r="F966" s="64"/>
      <c r="G966" s="83"/>
      <c r="H966" s="84"/>
    </row>
    <row r="967">
      <c r="F967" s="64"/>
      <c r="G967" s="83"/>
      <c r="H967" s="84"/>
    </row>
    <row r="968">
      <c r="F968" s="64"/>
      <c r="G968" s="83"/>
      <c r="H968" s="84"/>
    </row>
    <row r="969">
      <c r="F969" s="64"/>
      <c r="G969" s="83"/>
      <c r="H969" s="84"/>
    </row>
    <row r="970">
      <c r="F970" s="64"/>
      <c r="G970" s="83"/>
      <c r="H970" s="84"/>
    </row>
    <row r="971">
      <c r="F971" s="64"/>
      <c r="G971" s="83"/>
      <c r="H971" s="84"/>
    </row>
    <row r="972">
      <c r="F972" s="64"/>
      <c r="G972" s="83"/>
      <c r="H972" s="84"/>
    </row>
    <row r="973">
      <c r="F973" s="64"/>
      <c r="G973" s="83"/>
      <c r="H973" s="84"/>
    </row>
    <row r="974">
      <c r="F974" s="64"/>
      <c r="G974" s="83"/>
      <c r="H974" s="84"/>
    </row>
    <row r="975">
      <c r="F975" s="64"/>
      <c r="G975" s="83"/>
      <c r="H975" s="84"/>
    </row>
    <row r="976">
      <c r="F976" s="64"/>
      <c r="G976" s="83"/>
      <c r="H976" s="84"/>
    </row>
    <row r="977">
      <c r="F977" s="64"/>
      <c r="G977" s="83"/>
      <c r="H977" s="84"/>
    </row>
    <row r="978">
      <c r="F978" s="64"/>
      <c r="G978" s="83"/>
      <c r="H978" s="84"/>
    </row>
    <row r="979">
      <c r="F979" s="64"/>
      <c r="G979" s="83"/>
      <c r="H979" s="84"/>
    </row>
    <row r="980">
      <c r="F980" s="64"/>
      <c r="G980" s="83"/>
      <c r="H980" s="84"/>
    </row>
    <row r="981">
      <c r="F981" s="64"/>
      <c r="G981" s="83"/>
      <c r="H981" s="84"/>
    </row>
    <row r="982">
      <c r="F982" s="64"/>
      <c r="G982" s="83"/>
      <c r="H982" s="84"/>
    </row>
    <row r="983">
      <c r="F983" s="64"/>
      <c r="G983" s="83"/>
      <c r="H983" s="84"/>
    </row>
    <row r="984">
      <c r="F984" s="64"/>
      <c r="G984" s="83"/>
      <c r="H984" s="84"/>
    </row>
    <row r="985">
      <c r="F985" s="64"/>
      <c r="G985" s="83"/>
      <c r="H985" s="84"/>
    </row>
    <row r="986">
      <c r="F986" s="64"/>
      <c r="G986" s="83"/>
      <c r="H986" s="84"/>
    </row>
    <row r="987">
      <c r="F987" s="64"/>
      <c r="G987" s="83"/>
      <c r="H987" s="84"/>
    </row>
    <row r="988">
      <c r="F988" s="64"/>
      <c r="G988" s="83"/>
      <c r="H988" s="84"/>
    </row>
    <row r="989">
      <c r="F989" s="64"/>
      <c r="G989" s="83"/>
      <c r="H989" s="84"/>
    </row>
    <row r="990">
      <c r="F990" s="64"/>
      <c r="G990" s="83"/>
      <c r="H990" s="84"/>
    </row>
    <row r="991">
      <c r="F991" s="64"/>
      <c r="G991" s="83"/>
      <c r="H991" s="84"/>
    </row>
    <row r="992">
      <c r="F992" s="64"/>
      <c r="G992" s="83"/>
      <c r="H992" s="84"/>
    </row>
    <row r="993">
      <c r="F993" s="64"/>
      <c r="G993" s="83"/>
      <c r="H993" s="84"/>
    </row>
    <row r="994">
      <c r="F994" s="64"/>
      <c r="G994" s="83"/>
      <c r="H994" s="84"/>
    </row>
    <row r="995">
      <c r="F995" s="64"/>
      <c r="G995" s="83"/>
      <c r="H995" s="84"/>
    </row>
    <row r="996">
      <c r="F996" s="64"/>
      <c r="G996" s="83"/>
      <c r="H996" s="84"/>
    </row>
    <row r="997">
      <c r="F997" s="64"/>
      <c r="G997" s="83"/>
      <c r="H997" s="84"/>
    </row>
    <row r="998">
      <c r="F998" s="64"/>
      <c r="G998" s="83"/>
      <c r="H998" s="84"/>
    </row>
    <row r="999">
      <c r="F999" s="64"/>
      <c r="H999" s="84"/>
    </row>
    <row r="1000">
      <c r="F1000" s="64"/>
      <c r="H1000" s="84"/>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0.06666666667</v>
      </c>
      <c r="E2" s="87">
        <v>1.595775739E9</v>
      </c>
      <c r="F2" s="64">
        <f>IFERROR(__xludf.DUMMYFUNCTION("INDEX(SPLIT(E2, char(10)), 0, 1)/86400+date(1970,1,1)"),44038.6266087963)</f>
        <v>44038.62661</v>
      </c>
      <c r="G2" s="84" t="s">
        <v>909</v>
      </c>
      <c r="H2" s="84" t="s">
        <v>910</v>
      </c>
      <c r="I2" s="39" t="s">
        <v>17</v>
      </c>
      <c r="J2" s="39"/>
    </row>
    <row r="3">
      <c r="A3" s="39" t="s">
        <v>14</v>
      </c>
      <c r="B3" s="39" t="s">
        <v>101</v>
      </c>
      <c r="C3" s="39">
        <f t="shared" si="1"/>
        <v>2</v>
      </c>
      <c r="D3" s="62">
        <f t="shared" si="2"/>
        <v>0.06666666667</v>
      </c>
      <c r="E3" s="87">
        <v>1.595776172E9</v>
      </c>
      <c r="F3" s="64">
        <f>IFERROR(__xludf.DUMMYFUNCTION("INDEX(SPLIT(E3, char(10)), 0, 1)/86400+date(1970,1,1)"),44038.631620370375)</f>
        <v>44038.63162</v>
      </c>
      <c r="G3" s="84" t="s">
        <v>911</v>
      </c>
      <c r="H3" s="84" t="s">
        <v>912</v>
      </c>
      <c r="I3" s="39" t="s">
        <v>16</v>
      </c>
      <c r="J3" s="39"/>
    </row>
    <row r="4">
      <c r="A4" s="39" t="s">
        <v>15</v>
      </c>
      <c r="B4" s="39" t="s">
        <v>104</v>
      </c>
      <c r="C4" s="39">
        <f t="shared" si="1"/>
        <v>3</v>
      </c>
      <c r="D4" s="62">
        <f t="shared" si="2"/>
        <v>0.1</v>
      </c>
      <c r="E4" s="87">
        <v>1.595776311E9</v>
      </c>
      <c r="F4" s="64">
        <f>IFERROR(__xludf.DUMMYFUNCTION("INDEX(SPLIT(E4, char(10)), 0, 1)/86400+date(1970,1,1)"),44038.63322916666)</f>
        <v>44038.63323</v>
      </c>
      <c r="G4" s="84" t="s">
        <v>604</v>
      </c>
      <c r="H4" s="84" t="s">
        <v>913</v>
      </c>
      <c r="I4" s="39" t="s">
        <v>17</v>
      </c>
      <c r="J4" s="39"/>
    </row>
    <row r="5">
      <c r="A5" s="39" t="s">
        <v>16</v>
      </c>
      <c r="B5" s="39" t="s">
        <v>107</v>
      </c>
      <c r="C5" s="39">
        <f t="shared" si="1"/>
        <v>10</v>
      </c>
      <c r="D5" s="62">
        <f t="shared" si="2"/>
        <v>0.3333333333</v>
      </c>
      <c r="E5" s="87">
        <v>1.595776875E9</v>
      </c>
      <c r="F5" s="64">
        <f>IFERROR(__xludf.DUMMYFUNCTION("INDEX(SPLIT(E5, char(10)), 0, 1)/86400+date(1970,1,1)"),44038.639756944445)</f>
        <v>44038.63976</v>
      </c>
      <c r="G5" s="84" t="s">
        <v>196</v>
      </c>
      <c r="H5" s="84" t="s">
        <v>914</v>
      </c>
      <c r="I5" s="39" t="s">
        <v>14</v>
      </c>
      <c r="J5" s="39"/>
    </row>
    <row r="6">
      <c r="A6" s="39" t="s">
        <v>17</v>
      </c>
      <c r="B6" s="39" t="s">
        <v>110</v>
      </c>
      <c r="C6" s="39">
        <f t="shared" si="1"/>
        <v>13</v>
      </c>
      <c r="D6" s="62">
        <f t="shared" si="2"/>
        <v>0.4333333333</v>
      </c>
      <c r="E6" s="87">
        <v>1.595776978E9</v>
      </c>
      <c r="F6" s="64">
        <f>IFERROR(__xludf.DUMMYFUNCTION("INDEX(SPLIT(E6, char(10)), 0, 1)/86400+date(1970,1,1)"),44038.64094907408)</f>
        <v>44038.64095</v>
      </c>
      <c r="G6" s="84" t="s">
        <v>612</v>
      </c>
      <c r="H6" s="84" t="s">
        <v>915</v>
      </c>
      <c r="I6" s="39" t="s">
        <v>17</v>
      </c>
    </row>
    <row r="7">
      <c r="B7" s="39" t="s">
        <v>13</v>
      </c>
      <c r="C7" s="67">
        <f t="shared" ref="C7:D7" si="3">SUM(C2:C6)</f>
        <v>30</v>
      </c>
      <c r="D7" s="68">
        <f t="shared" si="3"/>
        <v>1</v>
      </c>
      <c r="E7" s="87">
        <v>1.595777179E9</v>
      </c>
      <c r="F7" s="64">
        <f>IFERROR(__xludf.DUMMYFUNCTION("INDEX(SPLIT(E7, char(10)), 0, 1)/86400+date(1970,1,1)"),44038.643275462964)</f>
        <v>44038.64328</v>
      </c>
      <c r="G7" s="84" t="s">
        <v>916</v>
      </c>
      <c r="H7" s="84" t="s">
        <v>917</v>
      </c>
      <c r="I7" s="39" t="s">
        <v>17</v>
      </c>
    </row>
    <row r="8">
      <c r="A8" s="69"/>
      <c r="B8" s="39" t="s">
        <v>18</v>
      </c>
      <c r="C8" s="55">
        <f t="shared" ref="C8:D8" si="4">SUM(C5:C6)</f>
        <v>23</v>
      </c>
      <c r="D8" s="13">
        <f t="shared" si="4"/>
        <v>0.7666666667</v>
      </c>
      <c r="E8" s="87">
        <v>1.595777368E9</v>
      </c>
      <c r="F8" s="64">
        <f>IFERROR(__xludf.DUMMYFUNCTION("INDEX(SPLIT(E8, char(10)), 0, 1)/86400+date(1970,1,1)"),44038.64546296296)</f>
        <v>44038.64546</v>
      </c>
      <c r="G8" s="84" t="s">
        <v>918</v>
      </c>
      <c r="H8" s="84" t="s">
        <v>919</v>
      </c>
      <c r="I8" s="39" t="s">
        <v>15</v>
      </c>
    </row>
    <row r="9">
      <c r="A9" s="69"/>
      <c r="B9" s="39" t="s">
        <v>47</v>
      </c>
      <c r="C9" s="55">
        <f>SUM(C6:C7)</f>
        <v>43</v>
      </c>
      <c r="D9" s="13">
        <f>SUM(D5:D6) + D2</f>
        <v>0.8333333333</v>
      </c>
      <c r="E9" s="87">
        <v>1.595777631E9</v>
      </c>
      <c r="F9" s="64">
        <f>IFERROR(__xludf.DUMMYFUNCTION("INDEX(SPLIT(E9, char(10)), 0, 1)/86400+date(1970,1,1)"),44038.648506944446)</f>
        <v>44038.64851</v>
      </c>
      <c r="G9" s="84" t="s">
        <v>920</v>
      </c>
      <c r="H9" s="84" t="s">
        <v>921</v>
      </c>
      <c r="I9" s="39" t="s">
        <v>16</v>
      </c>
    </row>
    <row r="10">
      <c r="A10" s="69"/>
      <c r="B10" s="69"/>
      <c r="C10" s="69"/>
      <c r="D10" s="69"/>
      <c r="E10" s="87">
        <v>1.595778102E9</v>
      </c>
      <c r="F10" s="64">
        <f>IFERROR(__xludf.DUMMYFUNCTION("INDEX(SPLIT(E10, char(10)), 0, 1)/86400+date(1970,1,1)"),44038.653958333336)</f>
        <v>44038.65396</v>
      </c>
      <c r="G10" s="84" t="s">
        <v>922</v>
      </c>
      <c r="H10" s="84" t="s">
        <v>923</v>
      </c>
      <c r="I10" s="39" t="s">
        <v>17</v>
      </c>
    </row>
    <row r="11">
      <c r="A11" s="69"/>
      <c r="B11" s="69"/>
      <c r="C11" s="69"/>
      <c r="D11" s="69"/>
      <c r="E11" s="87">
        <v>1.595778478E9</v>
      </c>
      <c r="F11" s="64">
        <f>IFERROR(__xludf.DUMMYFUNCTION("INDEX(SPLIT(E11, char(10)), 0, 1)/86400+date(1970,1,1)"),44038.65831018519)</f>
        <v>44038.65831</v>
      </c>
      <c r="G11" s="84" t="s">
        <v>685</v>
      </c>
      <c r="H11" s="84" t="s">
        <v>924</v>
      </c>
      <c r="I11" s="39" t="s">
        <v>17</v>
      </c>
    </row>
    <row r="12">
      <c r="A12" s="70" t="s">
        <v>123</v>
      </c>
      <c r="B12" s="71" t="s">
        <v>925</v>
      </c>
      <c r="C12" s="72"/>
      <c r="D12" s="72"/>
      <c r="E12" s="87">
        <v>1.595778607E9</v>
      </c>
      <c r="F12" s="64">
        <f>IFERROR(__xludf.DUMMYFUNCTION("INDEX(SPLIT(E12, char(10)), 0, 1)/86400+date(1970,1,1)"),44038.65980324074)</f>
        <v>44038.6598</v>
      </c>
      <c r="G12" s="84" t="s">
        <v>926</v>
      </c>
      <c r="H12" s="84" t="s">
        <v>927</v>
      </c>
      <c r="I12" s="39" t="s">
        <v>15</v>
      </c>
    </row>
    <row r="13">
      <c r="A13" s="70" t="s">
        <v>127</v>
      </c>
      <c r="B13" s="72"/>
      <c r="C13" s="70" t="s">
        <v>91</v>
      </c>
      <c r="D13" s="70" t="s">
        <v>92</v>
      </c>
      <c r="E13" s="87">
        <v>1.595778894E9</v>
      </c>
      <c r="F13" s="64">
        <f>IFERROR(__xludf.DUMMYFUNCTION("INDEX(SPLIT(E13, char(10)), 0, 1)/86400+date(1970,1,1)"),44038.663125)</f>
        <v>44038.66313</v>
      </c>
      <c r="G13" s="84" t="s">
        <v>928</v>
      </c>
      <c r="H13" s="84" t="s">
        <v>929</v>
      </c>
      <c r="I13" s="39" t="s">
        <v>17</v>
      </c>
    </row>
    <row r="14">
      <c r="A14" s="5" t="s">
        <v>130</v>
      </c>
      <c r="B14" s="5" t="s">
        <v>131</v>
      </c>
      <c r="C14" s="73">
        <f t="shared" ref="C14:C17" si="5">COUNTIF($A$19:$A1000, A14)</f>
        <v>3</v>
      </c>
      <c r="D14" s="74">
        <f>IFERROR(__xludf.DUMMYFUNCTION("IF(C14, COUNTIF(FILTER($D$19:$D1000, $A$19:$A1000=A14), TRUE)/C14, 0)"),1.0)</f>
        <v>1</v>
      </c>
      <c r="E14" s="87">
        <v>1.595779041E9</v>
      </c>
      <c r="F14" s="64">
        <f>IFERROR(__xludf.DUMMYFUNCTION("INDEX(SPLIT(E14, char(10)), 0, 1)/86400+date(1970,1,1)"),44038.66482638889)</f>
        <v>44038.66483</v>
      </c>
      <c r="G14" s="84" t="s">
        <v>930</v>
      </c>
      <c r="H14" s="84" t="s">
        <v>931</v>
      </c>
      <c r="I14" s="39" t="s">
        <v>17</v>
      </c>
    </row>
    <row r="15">
      <c r="A15" s="5" t="s">
        <v>6</v>
      </c>
      <c r="B15" s="5" t="s">
        <v>134</v>
      </c>
      <c r="C15" s="73">
        <f t="shared" si="5"/>
        <v>7</v>
      </c>
      <c r="D15" s="74">
        <f>IFERROR(__xludf.DUMMYFUNCTION("IF(C15, COUNTIF(FILTER($D$19:$D1000, $A$19:$A1000=A15), TRUE)/C15, 0)"),0.42857142857142855)</f>
        <v>0.4285714286</v>
      </c>
      <c r="E15" s="87">
        <v>1.595779322E9</v>
      </c>
      <c r="F15" s="64">
        <f>IFERROR(__xludf.DUMMYFUNCTION("INDEX(SPLIT(E15, char(10)), 0, 1)/86400+date(1970,1,1)"),44038.668078703704)</f>
        <v>44038.66808</v>
      </c>
      <c r="G15" s="84" t="s">
        <v>858</v>
      </c>
      <c r="H15" s="84" t="s">
        <v>932</v>
      </c>
      <c r="I15" s="39" t="s">
        <v>16</v>
      </c>
    </row>
    <row r="16">
      <c r="A16" s="5" t="s">
        <v>7</v>
      </c>
      <c r="B16" s="5" t="s">
        <v>137</v>
      </c>
      <c r="C16" s="73">
        <f t="shared" si="5"/>
        <v>4</v>
      </c>
      <c r="D16" s="74">
        <f>IFERROR(__xludf.DUMMYFUNCTION("IF(C16, COUNTIF(FILTER($D$19:$D1000, $A$19:$A1000=A16), TRUE)/C16, 0)"),0.5)</f>
        <v>0.5</v>
      </c>
      <c r="E16" s="87">
        <v>1.595779544E9</v>
      </c>
      <c r="F16" s="64">
        <f>IFERROR(__xludf.DUMMYFUNCTION("INDEX(SPLIT(E16, char(10)), 0, 1)/86400+date(1970,1,1)"),44038.67064814815)</f>
        <v>44038.67065</v>
      </c>
      <c r="G16" s="84" t="s">
        <v>933</v>
      </c>
      <c r="H16" s="84" t="s">
        <v>934</v>
      </c>
      <c r="I16" s="39" t="s">
        <v>17</v>
      </c>
    </row>
    <row r="17">
      <c r="A17" s="5" t="s">
        <v>8</v>
      </c>
      <c r="B17" s="5" t="s">
        <v>79</v>
      </c>
      <c r="C17" s="73">
        <f t="shared" si="5"/>
        <v>9</v>
      </c>
      <c r="D17" s="74">
        <f>IFERROR(__xludf.DUMMYFUNCTION("IF(C17, COUNTIF(FILTER($D$19:$D1000, $A$19:$A1000=A17), TRUE)/C17, 0)"),0.2222222222222222)</f>
        <v>0.2222222222</v>
      </c>
      <c r="E17" s="87">
        <v>1.595779671E9</v>
      </c>
      <c r="F17" s="64">
        <f>IFERROR(__xludf.DUMMYFUNCTION("INDEX(SPLIT(E17, char(10)), 0, 1)/86400+date(1970,1,1)"),44038.672118055554)</f>
        <v>44038.67212</v>
      </c>
      <c r="G17" s="84" t="s">
        <v>935</v>
      </c>
      <c r="H17" s="84" t="s">
        <v>936</v>
      </c>
      <c r="I17" s="39" t="s">
        <v>75</v>
      </c>
    </row>
    <row r="18">
      <c r="A18" s="72"/>
      <c r="B18" s="70" t="s">
        <v>9</v>
      </c>
      <c r="C18" s="73">
        <f>SUM(C14:C17)</f>
        <v>23</v>
      </c>
      <c r="D18" s="74">
        <f>COUNTIF($D$19:$D1000, TRUE)/SUM($C$14:$C$17)</f>
        <v>0.4347826087</v>
      </c>
      <c r="E18" s="87">
        <v>1.595780267E9</v>
      </c>
      <c r="F18" s="64">
        <f>IFERROR(__xludf.DUMMYFUNCTION("INDEX(SPLIT(E18, char(10)), 0, 1)/86400+date(1970,1,1)"),44038.67901620371)</f>
        <v>44038.67902</v>
      </c>
      <c r="G18" s="84" t="s">
        <v>937</v>
      </c>
      <c r="H18" s="84" t="s">
        <v>938</v>
      </c>
      <c r="I18" s="39" t="s">
        <v>16</v>
      </c>
    </row>
    <row r="19">
      <c r="A19" s="75" t="s">
        <v>7</v>
      </c>
      <c r="B19" s="75" t="s">
        <v>149</v>
      </c>
      <c r="C19" s="76">
        <v>1.0</v>
      </c>
      <c r="D19" s="78" t="b">
        <v>0</v>
      </c>
      <c r="E19" s="87">
        <v>1.595780392E9</v>
      </c>
      <c r="F19" s="64">
        <f>IFERROR(__xludf.DUMMYFUNCTION("INDEX(SPLIT(E19, char(10)), 0, 1)/86400+date(1970,1,1)"),44038.68046296296)</f>
        <v>44038.68046</v>
      </c>
      <c r="G19" s="84" t="s">
        <v>939</v>
      </c>
      <c r="H19" s="84" t="s">
        <v>940</v>
      </c>
      <c r="I19" s="39" t="s">
        <v>17</v>
      </c>
    </row>
    <row r="20">
      <c r="A20" s="75" t="s">
        <v>6</v>
      </c>
      <c r="B20" s="75" t="s">
        <v>727</v>
      </c>
      <c r="C20" s="76">
        <v>9.0</v>
      </c>
      <c r="D20" s="78" t="b">
        <v>1</v>
      </c>
      <c r="E20" s="87">
        <v>1.595780494E9</v>
      </c>
      <c r="F20" s="64">
        <f>IFERROR(__xludf.DUMMYFUNCTION("INDEX(SPLIT(E20, char(10)), 0, 1)/86400+date(1970,1,1)"),44038.68164351852)</f>
        <v>44038.68164</v>
      </c>
      <c r="G20" s="84" t="s">
        <v>941</v>
      </c>
      <c r="H20" s="84" t="s">
        <v>942</v>
      </c>
      <c r="I20" s="39" t="s">
        <v>16</v>
      </c>
    </row>
    <row r="21">
      <c r="A21" s="75" t="s">
        <v>130</v>
      </c>
      <c r="B21" s="75" t="s">
        <v>730</v>
      </c>
      <c r="C21" s="76">
        <v>33.0</v>
      </c>
      <c r="D21" s="78" t="b">
        <v>1</v>
      </c>
      <c r="E21" s="87">
        <v>1.595780849E9</v>
      </c>
      <c r="F21" s="64">
        <f>IFERROR(__xludf.DUMMYFUNCTION("INDEX(SPLIT(E21, char(10)), 0, 1)/86400+date(1970,1,1)"),44038.685752314814)</f>
        <v>44038.68575</v>
      </c>
      <c r="G21" s="84" t="s">
        <v>943</v>
      </c>
      <c r="H21" s="84" t="s">
        <v>944</v>
      </c>
      <c r="I21" s="39" t="s">
        <v>17</v>
      </c>
    </row>
    <row r="22">
      <c r="A22" s="75" t="s">
        <v>7</v>
      </c>
      <c r="B22" s="75" t="s">
        <v>155</v>
      </c>
      <c r="C22" s="76">
        <v>45.0</v>
      </c>
      <c r="D22" s="78" t="b">
        <v>0</v>
      </c>
      <c r="E22" s="87">
        <v>1.595780939E9</v>
      </c>
      <c r="F22" s="64">
        <f>IFERROR(__xludf.DUMMYFUNCTION("INDEX(SPLIT(E22, char(10)), 0, 1)/86400+date(1970,1,1)"),44038.686793981484)</f>
        <v>44038.68679</v>
      </c>
      <c r="G22" s="84" t="s">
        <v>945</v>
      </c>
      <c r="H22" s="84" t="s">
        <v>946</v>
      </c>
      <c r="I22" s="39" t="s">
        <v>16</v>
      </c>
    </row>
    <row r="23">
      <c r="A23" s="75" t="s">
        <v>7</v>
      </c>
      <c r="B23" s="75" t="s">
        <v>158</v>
      </c>
      <c r="C23" s="76">
        <v>45.0</v>
      </c>
      <c r="D23" s="78" t="b">
        <v>1</v>
      </c>
      <c r="E23" s="87">
        <v>1.595781047E9</v>
      </c>
      <c r="F23" s="64">
        <f>IFERROR(__xludf.DUMMYFUNCTION("INDEX(SPLIT(E23, char(10)), 0, 1)/86400+date(1970,1,1)"),44038.688043981485)</f>
        <v>44038.68804</v>
      </c>
      <c r="G23" s="84" t="s">
        <v>947</v>
      </c>
      <c r="H23" s="84" t="s">
        <v>948</v>
      </c>
      <c r="I23" s="39" t="s">
        <v>75</v>
      </c>
    </row>
    <row r="24">
      <c r="A24" s="5" t="s">
        <v>8</v>
      </c>
      <c r="B24" s="5" t="s">
        <v>737</v>
      </c>
      <c r="C24" s="76">
        <v>58.0</v>
      </c>
      <c r="D24" s="78" t="b">
        <v>1</v>
      </c>
      <c r="E24" s="87">
        <v>1.59578122E9</v>
      </c>
      <c r="F24" s="64">
        <f>IFERROR(__xludf.DUMMYFUNCTION("INDEX(SPLIT(E24, char(10)), 0, 1)/86400+date(1970,1,1)"),44038.690046296295)</f>
        <v>44038.69005</v>
      </c>
      <c r="G24" s="84" t="s">
        <v>949</v>
      </c>
      <c r="H24" s="84" t="s">
        <v>950</v>
      </c>
      <c r="I24" s="39" t="s">
        <v>17</v>
      </c>
    </row>
    <row r="25">
      <c r="A25" s="75" t="s">
        <v>6</v>
      </c>
      <c r="B25" s="72" t="s">
        <v>740</v>
      </c>
      <c r="C25" s="76">
        <v>63.0</v>
      </c>
      <c r="D25" s="78" t="b">
        <v>1</v>
      </c>
      <c r="E25" s="87">
        <v>1.595781329E9</v>
      </c>
      <c r="F25" s="64">
        <f>IFERROR(__xludf.DUMMYFUNCTION("INDEX(SPLIT(E25, char(10)), 0, 1)/86400+date(1970,1,1)"),44038.691307870366)</f>
        <v>44038.69131</v>
      </c>
      <c r="G25" s="84" t="s">
        <v>951</v>
      </c>
      <c r="H25" s="84" t="s">
        <v>952</v>
      </c>
      <c r="I25" s="39" t="s">
        <v>16</v>
      </c>
    </row>
    <row r="26">
      <c r="A26" s="75" t="s">
        <v>6</v>
      </c>
      <c r="B26" s="72" t="s">
        <v>743</v>
      </c>
      <c r="C26" s="76">
        <v>69.0</v>
      </c>
      <c r="D26" s="78" t="b">
        <v>0</v>
      </c>
      <c r="E26" s="87">
        <v>1.595781484E9</v>
      </c>
      <c r="F26" s="64">
        <f>IFERROR(__xludf.DUMMYFUNCTION("INDEX(SPLIT(E26, char(10)), 0, 1)/86400+date(1970,1,1)"),44038.69310185185)</f>
        <v>44038.6931</v>
      </c>
      <c r="G26" s="84" t="s">
        <v>953</v>
      </c>
      <c r="H26" s="84" t="s">
        <v>954</v>
      </c>
      <c r="I26" s="39" t="s">
        <v>15</v>
      </c>
    </row>
    <row r="27">
      <c r="A27" s="75" t="s">
        <v>130</v>
      </c>
      <c r="B27" s="72" t="s">
        <v>746</v>
      </c>
      <c r="C27" s="76">
        <v>70.0</v>
      </c>
      <c r="D27" s="78" t="b">
        <v>1</v>
      </c>
      <c r="E27" s="87">
        <v>1.595781714E9</v>
      </c>
      <c r="F27" s="64">
        <f>IFERROR(__xludf.DUMMYFUNCTION("INDEX(SPLIT(E27, char(10)), 0, 1)/86400+date(1970,1,1)"),44038.695763888885)</f>
        <v>44038.69576</v>
      </c>
      <c r="G27" s="84" t="s">
        <v>955</v>
      </c>
      <c r="H27" s="84" t="s">
        <v>956</v>
      </c>
      <c r="I27" s="39" t="s">
        <v>17</v>
      </c>
    </row>
    <row r="28">
      <c r="A28" s="75" t="s">
        <v>8</v>
      </c>
      <c r="B28" s="72" t="s">
        <v>749</v>
      </c>
      <c r="C28" s="76">
        <v>73.0</v>
      </c>
      <c r="D28" s="78" t="b">
        <v>0</v>
      </c>
      <c r="E28" s="87">
        <v>1.595782367E9</v>
      </c>
      <c r="F28" s="64">
        <f>IFERROR(__xludf.DUMMYFUNCTION("INDEX(SPLIT(E28, char(10)), 0, 1)/86400+date(1970,1,1)"),44038.703321759254)</f>
        <v>44038.70332</v>
      </c>
      <c r="G28" s="84" t="s">
        <v>957</v>
      </c>
      <c r="H28" s="84" t="s">
        <v>958</v>
      </c>
      <c r="I28" s="39" t="s">
        <v>16</v>
      </c>
    </row>
    <row r="29">
      <c r="A29" s="75" t="s">
        <v>8</v>
      </c>
      <c r="B29" s="72" t="s">
        <v>752</v>
      </c>
      <c r="C29" s="76">
        <v>73.0</v>
      </c>
      <c r="D29" s="78" t="b">
        <v>0</v>
      </c>
      <c r="E29" s="87">
        <v>1.595782573E9</v>
      </c>
      <c r="F29" s="64">
        <f>IFERROR(__xludf.DUMMYFUNCTION("INDEX(SPLIT(E29, char(10)), 0, 1)/86400+date(1970,1,1)"),44038.70570601852)</f>
        <v>44038.70571</v>
      </c>
      <c r="G29" s="84" t="s">
        <v>959</v>
      </c>
      <c r="H29" s="84" t="s">
        <v>960</v>
      </c>
      <c r="I29" s="39" t="s">
        <v>14</v>
      </c>
    </row>
    <row r="30">
      <c r="A30" s="75" t="s">
        <v>8</v>
      </c>
      <c r="B30" s="72" t="s">
        <v>755</v>
      </c>
      <c r="C30" s="76">
        <v>73.0</v>
      </c>
      <c r="D30" s="78" t="b">
        <v>0</v>
      </c>
      <c r="E30" s="87">
        <v>1.595782665E9</v>
      </c>
      <c r="F30" s="64">
        <f>IFERROR(__xludf.DUMMYFUNCTION("INDEX(SPLIT(E30, char(10)), 0, 1)/86400+date(1970,1,1)"),44038.706770833334)</f>
        <v>44038.70677</v>
      </c>
      <c r="G30" s="84" t="s">
        <v>961</v>
      </c>
      <c r="H30" s="84" t="s">
        <v>962</v>
      </c>
      <c r="I30" s="39" t="s">
        <v>16</v>
      </c>
    </row>
    <row r="31">
      <c r="A31" s="75" t="s">
        <v>8</v>
      </c>
      <c r="B31" s="72" t="s">
        <v>758</v>
      </c>
      <c r="C31" s="76">
        <v>77.0</v>
      </c>
      <c r="D31" s="78" t="b">
        <v>1</v>
      </c>
      <c r="E31" s="87">
        <v>1.595782762E9</v>
      </c>
      <c r="F31" s="64">
        <f>IFERROR(__xludf.DUMMYFUNCTION("INDEX(SPLIT(E31, char(10)), 0, 1)/86400+date(1970,1,1)"),44038.70789351852)</f>
        <v>44038.70789</v>
      </c>
      <c r="G31" s="84" t="s">
        <v>963</v>
      </c>
      <c r="H31" s="84" t="s">
        <v>964</v>
      </c>
      <c r="I31" s="39" t="s">
        <v>16</v>
      </c>
    </row>
    <row r="32">
      <c r="A32" s="75" t="s">
        <v>6</v>
      </c>
      <c r="B32" s="72" t="s">
        <v>761</v>
      </c>
      <c r="C32" s="76">
        <v>83.0</v>
      </c>
      <c r="D32" s="78" t="b">
        <v>0</v>
      </c>
      <c r="F32" s="64"/>
      <c r="G32" s="84"/>
      <c r="H32" s="84"/>
      <c r="I32" s="40"/>
    </row>
    <row r="33">
      <c r="A33" s="75" t="s">
        <v>8</v>
      </c>
      <c r="B33" s="72" t="s">
        <v>764</v>
      </c>
      <c r="C33" s="76">
        <v>86.0</v>
      </c>
      <c r="D33" s="78" t="b">
        <v>0</v>
      </c>
      <c r="F33" s="64"/>
      <c r="G33" s="84"/>
      <c r="H33" s="84"/>
      <c r="I33" s="40"/>
    </row>
    <row r="34">
      <c r="A34" s="75" t="s">
        <v>8</v>
      </c>
      <c r="B34" s="72" t="s">
        <v>767</v>
      </c>
      <c r="C34" s="76">
        <v>88.0</v>
      </c>
      <c r="D34" s="78" t="b">
        <v>0</v>
      </c>
      <c r="F34" s="64"/>
      <c r="G34" s="84"/>
      <c r="H34" s="84"/>
      <c r="I34" s="40"/>
    </row>
    <row r="35">
      <c r="A35" s="75" t="s">
        <v>6</v>
      </c>
      <c r="B35" s="72" t="s">
        <v>770</v>
      </c>
      <c r="C35" s="76">
        <v>90.0</v>
      </c>
      <c r="D35" s="78" t="b">
        <v>0</v>
      </c>
      <c r="F35" s="64"/>
      <c r="G35" s="84"/>
      <c r="H35" s="84"/>
      <c r="I35" s="40"/>
    </row>
    <row r="36">
      <c r="A36" s="75" t="s">
        <v>6</v>
      </c>
      <c r="B36" s="72" t="s">
        <v>773</v>
      </c>
      <c r="C36" s="76">
        <v>92.0</v>
      </c>
      <c r="D36" s="78" t="b">
        <v>0</v>
      </c>
      <c r="F36" s="64"/>
      <c r="G36" s="84"/>
      <c r="H36" s="84"/>
      <c r="I36" s="40"/>
    </row>
    <row r="37">
      <c r="A37" s="75" t="s">
        <v>6</v>
      </c>
      <c r="B37" s="72" t="s">
        <v>776</v>
      </c>
      <c r="C37" s="76">
        <v>94.0</v>
      </c>
      <c r="D37" s="78" t="b">
        <v>1</v>
      </c>
      <c r="F37" s="64"/>
      <c r="G37" s="84"/>
      <c r="H37" s="84"/>
      <c r="I37" s="40"/>
    </row>
    <row r="38">
      <c r="A38" s="75" t="s">
        <v>8</v>
      </c>
      <c r="B38" s="72" t="s">
        <v>779</v>
      </c>
      <c r="C38" s="76">
        <v>97.0</v>
      </c>
      <c r="D38" s="78" t="b">
        <v>0</v>
      </c>
      <c r="F38" s="64"/>
      <c r="G38" s="84"/>
      <c r="H38" s="84"/>
      <c r="I38" s="40"/>
    </row>
    <row r="39">
      <c r="A39" s="75" t="s">
        <v>8</v>
      </c>
      <c r="B39" s="72" t="s">
        <v>782</v>
      </c>
      <c r="C39" s="76">
        <v>97.0</v>
      </c>
      <c r="D39" s="78" t="b">
        <v>0</v>
      </c>
      <c r="F39" s="64"/>
      <c r="G39" s="84"/>
      <c r="H39" s="84"/>
      <c r="I39" s="40"/>
    </row>
    <row r="40">
      <c r="A40" s="75" t="s">
        <v>130</v>
      </c>
      <c r="B40" s="72" t="s">
        <v>785</v>
      </c>
      <c r="C40" s="76">
        <v>98.0</v>
      </c>
      <c r="D40" s="78" t="b">
        <v>1</v>
      </c>
      <c r="F40" s="64"/>
      <c r="G40" s="84"/>
      <c r="H40" s="84"/>
      <c r="I40" s="40"/>
    </row>
    <row r="41">
      <c r="A41" s="75" t="s">
        <v>7</v>
      </c>
      <c r="B41" s="72" t="s">
        <v>183</v>
      </c>
      <c r="C41" s="76">
        <v>90.0</v>
      </c>
      <c r="D41" s="78" t="b">
        <v>1</v>
      </c>
      <c r="F41" s="64"/>
      <c r="G41" s="84"/>
      <c r="H41" s="84"/>
      <c r="I41" s="40"/>
    </row>
    <row r="42">
      <c r="A42" s="75"/>
      <c r="B42" s="72"/>
      <c r="C42" s="76"/>
      <c r="D42" s="78"/>
      <c r="F42" s="64"/>
      <c r="G42" s="84"/>
      <c r="H42" s="84"/>
      <c r="I42" s="40"/>
    </row>
    <row r="43">
      <c r="A43" s="69"/>
      <c r="B43" s="69"/>
      <c r="C43" s="69"/>
      <c r="D43" s="69"/>
      <c r="F43" s="64"/>
      <c r="G43" s="84"/>
      <c r="H43" s="84"/>
      <c r="I43" s="40"/>
    </row>
    <row r="44">
      <c r="D44" s="69"/>
      <c r="F44" s="64"/>
      <c r="G44" s="84"/>
      <c r="H44" s="84"/>
      <c r="I44" s="40"/>
    </row>
    <row r="45">
      <c r="F45" s="64"/>
      <c r="G45" s="84"/>
      <c r="H45" s="84"/>
      <c r="I45" s="40"/>
    </row>
    <row r="46">
      <c r="F46" s="64"/>
      <c r="G46" s="84"/>
      <c r="H46" s="84"/>
      <c r="I46" s="40"/>
    </row>
    <row r="47">
      <c r="F47" s="64"/>
      <c r="G47" s="84"/>
      <c r="H47" s="84"/>
      <c r="I47" s="40"/>
    </row>
    <row r="48">
      <c r="F48" s="64"/>
      <c r="G48" s="84"/>
      <c r="H48" s="84"/>
      <c r="I48" s="40"/>
    </row>
    <row r="49">
      <c r="F49" s="64"/>
      <c r="G49" s="84"/>
      <c r="H49" s="84"/>
      <c r="I49" s="40"/>
    </row>
    <row r="50">
      <c r="F50" s="64"/>
      <c r="G50" s="84"/>
      <c r="H50" s="84"/>
      <c r="I50" s="40"/>
    </row>
    <row r="51">
      <c r="F51" s="80"/>
      <c r="G51" s="84"/>
      <c r="H51" s="84"/>
      <c r="I51" s="40"/>
    </row>
    <row r="52">
      <c r="F52" s="80"/>
      <c r="G52" s="84"/>
      <c r="H52" s="84"/>
    </row>
    <row r="53">
      <c r="F53" s="80"/>
      <c r="G53" s="84"/>
      <c r="H53" s="84"/>
    </row>
    <row r="54">
      <c r="F54" s="80"/>
      <c r="G54" s="84"/>
      <c r="H54" s="84"/>
    </row>
    <row r="55">
      <c r="F55" s="64"/>
      <c r="G55" s="83"/>
      <c r="H55" s="84"/>
    </row>
    <row r="56">
      <c r="F56" s="64"/>
      <c r="G56" s="83"/>
      <c r="H56" s="84"/>
    </row>
    <row r="57">
      <c r="F57" s="64"/>
      <c r="G57" s="83"/>
      <c r="H57" s="84"/>
    </row>
    <row r="58">
      <c r="F58" s="64"/>
      <c r="G58" s="83"/>
      <c r="H58" s="84"/>
    </row>
    <row r="59">
      <c r="F59" s="64"/>
      <c r="G59" s="83"/>
      <c r="H59" s="84"/>
    </row>
    <row r="60">
      <c r="F60" s="64"/>
      <c r="G60" s="83"/>
      <c r="H60" s="84"/>
    </row>
    <row r="61">
      <c r="F61" s="64"/>
      <c r="G61" s="83"/>
      <c r="H61" s="84"/>
    </row>
    <row r="62">
      <c r="F62" s="64"/>
      <c r="G62" s="83"/>
      <c r="H62" s="84"/>
    </row>
    <row r="63">
      <c r="F63" s="64"/>
      <c r="G63" s="83"/>
      <c r="H63" s="84"/>
    </row>
    <row r="64">
      <c r="F64" s="64"/>
      <c r="G64" s="83"/>
      <c r="H64" s="84"/>
    </row>
    <row r="65">
      <c r="F65" s="64"/>
      <c r="G65" s="83"/>
      <c r="H65" s="84"/>
    </row>
    <row r="66">
      <c r="F66" s="64"/>
      <c r="G66" s="83"/>
      <c r="H66" s="84"/>
    </row>
    <row r="67">
      <c r="F67" s="64"/>
      <c r="G67" s="83"/>
      <c r="H67" s="84"/>
    </row>
    <row r="68">
      <c r="F68" s="64"/>
      <c r="G68" s="83"/>
      <c r="H68" s="84"/>
    </row>
    <row r="69">
      <c r="F69" s="64"/>
      <c r="G69" s="83"/>
      <c r="H69" s="84"/>
    </row>
    <row r="70">
      <c r="F70" s="64"/>
      <c r="G70" s="83"/>
      <c r="H70" s="84"/>
    </row>
    <row r="71">
      <c r="F71" s="64"/>
      <c r="G71" s="83"/>
      <c r="H71" s="84"/>
    </row>
    <row r="72">
      <c r="F72" s="64"/>
      <c r="G72" s="83"/>
      <c r="H72" s="84"/>
    </row>
    <row r="73">
      <c r="F73" s="64"/>
      <c r="G73" s="83"/>
      <c r="H73" s="84"/>
    </row>
    <row r="74">
      <c r="F74" s="64"/>
      <c r="G74" s="83"/>
      <c r="H74" s="84"/>
    </row>
    <row r="75">
      <c r="F75" s="64"/>
      <c r="G75" s="83"/>
      <c r="H75" s="84"/>
    </row>
    <row r="76">
      <c r="F76" s="64"/>
      <c r="G76" s="83"/>
      <c r="H76" s="84"/>
    </row>
    <row r="77">
      <c r="F77" s="64"/>
      <c r="G77" s="83"/>
      <c r="H77" s="84"/>
    </row>
    <row r="78">
      <c r="F78" s="64"/>
      <c r="G78" s="83"/>
      <c r="H78" s="84"/>
    </row>
    <row r="79">
      <c r="F79" s="64"/>
      <c r="G79" s="83"/>
      <c r="H79" s="84"/>
    </row>
    <row r="80">
      <c r="F80" s="64"/>
      <c r="G80" s="83"/>
      <c r="H80" s="84"/>
    </row>
    <row r="81">
      <c r="F81" s="64"/>
      <c r="G81" s="83"/>
      <c r="H81" s="84"/>
    </row>
    <row r="82">
      <c r="F82" s="64"/>
      <c r="G82" s="83"/>
      <c r="H82" s="84"/>
    </row>
    <row r="83">
      <c r="F83" s="64"/>
      <c r="G83" s="83"/>
      <c r="H83" s="84"/>
    </row>
    <row r="84">
      <c r="F84" s="64"/>
      <c r="G84" s="83"/>
      <c r="H84" s="84"/>
    </row>
    <row r="85">
      <c r="F85" s="64"/>
      <c r="G85" s="83"/>
      <c r="H85" s="84"/>
    </row>
    <row r="86">
      <c r="F86" s="64"/>
      <c r="G86" s="83"/>
      <c r="H86" s="84"/>
    </row>
    <row r="87">
      <c r="F87" s="64"/>
      <c r="G87" s="83"/>
      <c r="H87" s="84"/>
    </row>
    <row r="88">
      <c r="F88" s="64"/>
      <c r="G88" s="83"/>
      <c r="H88" s="84"/>
    </row>
    <row r="89">
      <c r="F89" s="64"/>
      <c r="G89" s="83"/>
      <c r="H89" s="84"/>
    </row>
    <row r="90">
      <c r="F90" s="64"/>
      <c r="G90" s="83"/>
      <c r="H90" s="84"/>
    </row>
    <row r="91">
      <c r="F91" s="64"/>
      <c r="G91" s="83"/>
      <c r="H91" s="84"/>
    </row>
    <row r="92">
      <c r="F92" s="64"/>
      <c r="G92" s="83"/>
      <c r="H92" s="84"/>
    </row>
    <row r="93">
      <c r="F93" s="64"/>
      <c r="G93" s="83"/>
      <c r="H93" s="84"/>
    </row>
    <row r="94">
      <c r="F94" s="64"/>
      <c r="G94" s="83"/>
      <c r="H94" s="84"/>
    </row>
    <row r="95">
      <c r="F95" s="64"/>
      <c r="G95" s="83"/>
      <c r="H95" s="84"/>
    </row>
    <row r="96">
      <c r="F96" s="64"/>
      <c r="G96" s="83"/>
      <c r="H96" s="84"/>
    </row>
    <row r="97">
      <c r="F97" s="64"/>
      <c r="G97" s="83"/>
      <c r="H97" s="84"/>
    </row>
    <row r="98">
      <c r="F98" s="64"/>
      <c r="G98" s="83"/>
      <c r="H98" s="84"/>
    </row>
    <row r="99">
      <c r="F99" s="64"/>
      <c r="G99" s="83"/>
      <c r="H99" s="84"/>
    </row>
    <row r="100">
      <c r="F100" s="64"/>
      <c r="G100" s="83"/>
      <c r="H100" s="84"/>
    </row>
    <row r="101">
      <c r="F101" s="64"/>
      <c r="G101" s="83"/>
      <c r="H101" s="84"/>
    </row>
    <row r="102">
      <c r="F102" s="64"/>
      <c r="G102" s="83"/>
      <c r="H102" s="84"/>
    </row>
    <row r="103">
      <c r="F103" s="64"/>
      <c r="G103" s="83"/>
      <c r="H103" s="84"/>
    </row>
    <row r="104">
      <c r="F104" s="64"/>
      <c r="G104" s="83"/>
      <c r="H104" s="84"/>
    </row>
    <row r="105">
      <c r="F105" s="64"/>
      <c r="G105" s="83"/>
      <c r="H105" s="84"/>
    </row>
    <row r="106">
      <c r="F106" s="64"/>
      <c r="G106" s="83"/>
      <c r="H106" s="84"/>
    </row>
    <row r="107">
      <c r="F107" s="64"/>
      <c r="G107" s="83"/>
      <c r="H107" s="84"/>
    </row>
    <row r="108">
      <c r="F108" s="64"/>
      <c r="G108" s="83"/>
      <c r="H108" s="84"/>
    </row>
    <row r="109">
      <c r="F109" s="64"/>
      <c r="G109" s="83"/>
      <c r="H109" s="84"/>
    </row>
    <row r="110">
      <c r="F110" s="64"/>
      <c r="G110" s="83"/>
      <c r="H110" s="84"/>
    </row>
    <row r="111">
      <c r="F111" s="64"/>
      <c r="G111" s="83"/>
      <c r="H111" s="84"/>
    </row>
    <row r="112">
      <c r="F112" s="64"/>
      <c r="G112" s="83"/>
      <c r="H112" s="84"/>
    </row>
    <row r="113">
      <c r="F113" s="64"/>
      <c r="G113" s="83"/>
      <c r="H113" s="84"/>
    </row>
    <row r="114">
      <c r="F114" s="64"/>
      <c r="G114" s="83"/>
      <c r="H114" s="84"/>
    </row>
    <row r="115">
      <c r="F115" s="64"/>
      <c r="G115" s="83"/>
      <c r="H115" s="84"/>
    </row>
    <row r="116">
      <c r="F116" s="64"/>
      <c r="G116" s="83"/>
      <c r="H116" s="84"/>
    </row>
    <row r="117">
      <c r="F117" s="64"/>
      <c r="G117" s="83"/>
      <c r="H117" s="84"/>
    </row>
    <row r="118">
      <c r="F118" s="64"/>
      <c r="G118" s="83"/>
      <c r="H118" s="84"/>
    </row>
    <row r="119">
      <c r="F119" s="64"/>
      <c r="G119" s="83"/>
      <c r="H119" s="84"/>
    </row>
    <row r="120">
      <c r="F120" s="64"/>
      <c r="G120" s="83"/>
      <c r="H120" s="84"/>
    </row>
    <row r="121">
      <c r="F121" s="64"/>
      <c r="G121" s="83"/>
      <c r="H121" s="84"/>
    </row>
    <row r="122">
      <c r="F122" s="64"/>
      <c r="G122" s="83"/>
      <c r="H122" s="84"/>
    </row>
    <row r="123">
      <c r="F123" s="64"/>
      <c r="G123" s="83"/>
      <c r="H123" s="84"/>
    </row>
    <row r="124">
      <c r="F124" s="64"/>
      <c r="G124" s="83"/>
      <c r="H124" s="84"/>
    </row>
    <row r="125">
      <c r="F125" s="64"/>
      <c r="G125" s="83"/>
      <c r="H125" s="84"/>
    </row>
    <row r="126">
      <c r="F126" s="64"/>
      <c r="G126" s="83"/>
      <c r="H126" s="84"/>
    </row>
    <row r="127">
      <c r="F127" s="64"/>
      <c r="G127" s="83"/>
      <c r="H127" s="84"/>
    </row>
    <row r="128">
      <c r="F128" s="64"/>
      <c r="G128" s="83"/>
      <c r="H128" s="84"/>
    </row>
    <row r="129">
      <c r="F129" s="64"/>
      <c r="G129" s="83"/>
      <c r="H129" s="84"/>
    </row>
    <row r="130">
      <c r="F130" s="64"/>
      <c r="G130" s="83"/>
      <c r="H130" s="84"/>
    </row>
    <row r="131">
      <c r="F131" s="64"/>
      <c r="G131" s="83"/>
      <c r="H131" s="84"/>
    </row>
    <row r="132">
      <c r="F132" s="64"/>
      <c r="G132" s="83"/>
      <c r="H132" s="84"/>
    </row>
    <row r="133">
      <c r="F133" s="64"/>
      <c r="G133" s="83"/>
      <c r="H133" s="84"/>
    </row>
    <row r="134">
      <c r="F134" s="64"/>
      <c r="G134" s="83"/>
      <c r="H134" s="84"/>
    </row>
    <row r="135">
      <c r="F135" s="64"/>
      <c r="G135" s="83"/>
      <c r="H135" s="84"/>
    </row>
    <row r="136">
      <c r="F136" s="64"/>
      <c r="G136" s="83"/>
      <c r="H136" s="84"/>
    </row>
    <row r="137">
      <c r="F137" s="64"/>
      <c r="G137" s="83"/>
      <c r="H137" s="84"/>
    </row>
    <row r="138">
      <c r="F138" s="64"/>
      <c r="G138" s="83"/>
      <c r="H138" s="84"/>
    </row>
    <row r="139">
      <c r="F139" s="64"/>
      <c r="G139" s="83"/>
      <c r="H139" s="84"/>
    </row>
    <row r="140">
      <c r="F140" s="64"/>
      <c r="G140" s="83"/>
      <c r="H140" s="84"/>
    </row>
    <row r="141">
      <c r="F141" s="64"/>
      <c r="G141" s="83"/>
      <c r="H141" s="84"/>
    </row>
    <row r="142">
      <c r="F142" s="64"/>
      <c r="G142" s="83"/>
      <c r="H142" s="84"/>
    </row>
    <row r="143">
      <c r="F143" s="64"/>
      <c r="G143" s="83"/>
      <c r="H143" s="84"/>
    </row>
    <row r="144">
      <c r="F144" s="64"/>
      <c r="G144" s="83"/>
      <c r="H144" s="84"/>
    </row>
    <row r="145">
      <c r="F145" s="64"/>
      <c r="G145" s="83"/>
      <c r="H145" s="84"/>
    </row>
    <row r="146">
      <c r="F146" s="64"/>
      <c r="G146" s="83"/>
      <c r="H146" s="84"/>
    </row>
    <row r="147">
      <c r="F147" s="64"/>
      <c r="G147" s="83"/>
      <c r="H147" s="84"/>
    </row>
    <row r="148">
      <c r="F148" s="64"/>
      <c r="G148" s="83"/>
      <c r="H148" s="84"/>
    </row>
    <row r="149">
      <c r="F149" s="64"/>
      <c r="G149" s="83"/>
      <c r="H149" s="84"/>
    </row>
    <row r="150">
      <c r="F150" s="64"/>
      <c r="G150" s="83"/>
      <c r="H150" s="84"/>
    </row>
    <row r="151">
      <c r="F151" s="64"/>
      <c r="G151" s="83"/>
      <c r="H151" s="84"/>
    </row>
    <row r="152">
      <c r="F152" s="64"/>
      <c r="G152" s="83"/>
      <c r="H152" s="84"/>
    </row>
    <row r="153">
      <c r="F153" s="64"/>
      <c r="G153" s="83"/>
      <c r="H153" s="84"/>
    </row>
    <row r="154">
      <c r="F154" s="64"/>
      <c r="G154" s="83"/>
      <c r="H154" s="84"/>
    </row>
    <row r="155">
      <c r="F155" s="64"/>
      <c r="G155" s="83"/>
      <c r="H155" s="84"/>
    </row>
    <row r="156">
      <c r="F156" s="64"/>
      <c r="G156" s="83"/>
      <c r="H156" s="84"/>
    </row>
    <row r="157">
      <c r="F157" s="64"/>
      <c r="G157" s="83"/>
      <c r="H157" s="84"/>
    </row>
    <row r="158">
      <c r="F158" s="64"/>
      <c r="G158" s="83"/>
      <c r="H158" s="84"/>
    </row>
    <row r="159">
      <c r="F159" s="64"/>
      <c r="G159" s="83"/>
      <c r="H159" s="84"/>
    </row>
    <row r="160">
      <c r="F160" s="64"/>
      <c r="G160" s="83"/>
      <c r="H160" s="84"/>
    </row>
    <row r="161">
      <c r="F161" s="64"/>
      <c r="G161" s="83"/>
      <c r="H161" s="84"/>
    </row>
    <row r="162">
      <c r="F162" s="64"/>
      <c r="G162" s="83"/>
      <c r="H162" s="84"/>
    </row>
    <row r="163">
      <c r="F163" s="64"/>
      <c r="G163" s="83"/>
      <c r="H163" s="84"/>
    </row>
    <row r="164">
      <c r="F164" s="64"/>
      <c r="G164" s="83"/>
      <c r="H164" s="84"/>
    </row>
    <row r="165">
      <c r="F165" s="64"/>
      <c r="G165" s="83"/>
      <c r="H165" s="84"/>
    </row>
    <row r="166">
      <c r="F166" s="64"/>
      <c r="G166" s="83"/>
      <c r="H166" s="84"/>
    </row>
    <row r="167">
      <c r="F167" s="64"/>
      <c r="G167" s="83"/>
      <c r="H167" s="84"/>
    </row>
    <row r="168">
      <c r="F168" s="64"/>
      <c r="G168" s="83"/>
      <c r="H168" s="84"/>
    </row>
    <row r="169">
      <c r="F169" s="64"/>
      <c r="G169" s="83"/>
      <c r="H169" s="84"/>
    </row>
    <row r="170">
      <c r="F170" s="64"/>
      <c r="G170" s="83"/>
      <c r="H170" s="84"/>
    </row>
    <row r="171">
      <c r="F171" s="64"/>
      <c r="G171" s="83"/>
      <c r="H171" s="84"/>
    </row>
    <row r="172">
      <c r="F172" s="64"/>
      <c r="G172" s="83"/>
      <c r="H172" s="84"/>
    </row>
    <row r="173">
      <c r="F173" s="64"/>
      <c r="G173" s="83"/>
      <c r="H173" s="84"/>
    </row>
    <row r="174">
      <c r="F174" s="64"/>
      <c r="G174" s="83"/>
      <c r="H174" s="84"/>
    </row>
    <row r="175">
      <c r="F175" s="64"/>
      <c r="G175" s="83"/>
      <c r="H175" s="84"/>
    </row>
    <row r="176">
      <c r="F176" s="64"/>
      <c r="G176" s="83"/>
      <c r="H176" s="84"/>
    </row>
    <row r="177">
      <c r="F177" s="64"/>
      <c r="G177" s="83"/>
      <c r="H177" s="84"/>
    </row>
    <row r="178">
      <c r="F178" s="64"/>
      <c r="G178" s="83"/>
      <c r="H178" s="84"/>
    </row>
    <row r="179">
      <c r="F179" s="64"/>
      <c r="G179" s="83"/>
      <c r="H179" s="84"/>
    </row>
    <row r="180">
      <c r="F180" s="64"/>
      <c r="G180" s="83"/>
      <c r="H180" s="84"/>
    </row>
    <row r="181">
      <c r="F181" s="64"/>
      <c r="G181" s="83"/>
      <c r="H181" s="84"/>
    </row>
    <row r="182">
      <c r="F182" s="64"/>
      <c r="G182" s="83"/>
      <c r="H182" s="84"/>
    </row>
    <row r="183">
      <c r="F183" s="64"/>
      <c r="G183" s="83"/>
      <c r="H183" s="84"/>
    </row>
    <row r="184">
      <c r="F184" s="64"/>
      <c r="G184" s="83"/>
      <c r="H184" s="84"/>
    </row>
    <row r="185">
      <c r="F185" s="64"/>
      <c r="G185" s="83"/>
      <c r="H185" s="84"/>
    </row>
    <row r="186">
      <c r="F186" s="64"/>
      <c r="G186" s="83"/>
      <c r="H186" s="84"/>
    </row>
    <row r="187">
      <c r="F187" s="64"/>
      <c r="G187" s="83"/>
      <c r="H187" s="84"/>
    </row>
    <row r="188">
      <c r="F188" s="64"/>
      <c r="G188" s="83"/>
      <c r="H188" s="84"/>
    </row>
    <row r="189">
      <c r="F189" s="64"/>
      <c r="G189" s="83"/>
      <c r="H189" s="84"/>
    </row>
    <row r="190">
      <c r="F190" s="64"/>
      <c r="G190" s="83"/>
      <c r="H190" s="84"/>
    </row>
    <row r="191">
      <c r="F191" s="64"/>
      <c r="G191" s="83"/>
      <c r="H191" s="84"/>
    </row>
    <row r="192">
      <c r="F192" s="64"/>
      <c r="G192" s="83"/>
      <c r="H192" s="84"/>
    </row>
    <row r="193">
      <c r="F193" s="64"/>
      <c r="G193" s="83"/>
      <c r="H193" s="84"/>
    </row>
    <row r="194">
      <c r="F194" s="64"/>
      <c r="G194" s="83"/>
      <c r="H194" s="84"/>
    </row>
    <row r="195">
      <c r="F195" s="64"/>
      <c r="G195" s="83"/>
      <c r="H195" s="84"/>
    </row>
    <row r="196">
      <c r="F196" s="64"/>
      <c r="G196" s="83"/>
      <c r="H196" s="84"/>
    </row>
    <row r="197">
      <c r="F197" s="64"/>
      <c r="G197" s="83"/>
      <c r="H197" s="84"/>
    </row>
    <row r="198">
      <c r="F198" s="64"/>
      <c r="G198" s="83"/>
      <c r="H198" s="84"/>
    </row>
    <row r="199">
      <c r="F199" s="64"/>
      <c r="G199" s="83"/>
      <c r="H199" s="84"/>
    </row>
    <row r="200">
      <c r="F200" s="64"/>
      <c r="G200" s="83"/>
      <c r="H200" s="84"/>
    </row>
    <row r="201">
      <c r="F201" s="64"/>
      <c r="G201" s="83"/>
      <c r="H201" s="84"/>
    </row>
    <row r="202">
      <c r="F202" s="64"/>
      <c r="G202" s="83"/>
      <c r="H202" s="84"/>
    </row>
    <row r="203">
      <c r="F203" s="64"/>
      <c r="G203" s="83"/>
      <c r="H203" s="84"/>
    </row>
    <row r="204">
      <c r="F204" s="64"/>
      <c r="G204" s="83"/>
      <c r="H204" s="84"/>
    </row>
    <row r="205">
      <c r="F205" s="64"/>
      <c r="G205" s="83"/>
      <c r="H205" s="84"/>
    </row>
    <row r="206">
      <c r="F206" s="64"/>
      <c r="G206" s="83"/>
      <c r="H206" s="84"/>
    </row>
    <row r="207">
      <c r="F207" s="64"/>
      <c r="G207" s="83"/>
      <c r="H207" s="84"/>
    </row>
    <row r="208">
      <c r="F208" s="64"/>
      <c r="G208" s="83"/>
      <c r="H208" s="84"/>
    </row>
    <row r="209">
      <c r="F209" s="64"/>
      <c r="G209" s="83"/>
      <c r="H209" s="84"/>
    </row>
    <row r="210">
      <c r="F210" s="64"/>
      <c r="G210" s="83"/>
      <c r="H210" s="84"/>
    </row>
    <row r="211">
      <c r="F211" s="64"/>
      <c r="G211" s="83"/>
      <c r="H211" s="84"/>
    </row>
    <row r="212">
      <c r="F212" s="64"/>
      <c r="G212" s="83"/>
      <c r="H212" s="84"/>
    </row>
    <row r="213">
      <c r="F213" s="64"/>
      <c r="G213" s="83"/>
      <c r="H213" s="84"/>
    </row>
    <row r="214">
      <c r="F214" s="64"/>
      <c r="G214" s="83"/>
      <c r="H214" s="84"/>
    </row>
    <row r="215">
      <c r="F215" s="64"/>
      <c r="G215" s="83"/>
      <c r="H215" s="84"/>
    </row>
    <row r="216">
      <c r="F216" s="64"/>
      <c r="G216" s="83"/>
      <c r="H216" s="84"/>
    </row>
    <row r="217">
      <c r="F217" s="64"/>
      <c r="G217" s="83"/>
      <c r="H217" s="84"/>
    </row>
    <row r="218">
      <c r="F218" s="64"/>
      <c r="G218" s="83"/>
      <c r="H218" s="84"/>
    </row>
    <row r="219">
      <c r="F219" s="64"/>
      <c r="G219" s="83"/>
      <c r="H219" s="84"/>
    </row>
    <row r="220">
      <c r="F220" s="64"/>
      <c r="G220" s="83"/>
      <c r="H220" s="84"/>
    </row>
    <row r="221">
      <c r="F221" s="64"/>
      <c r="G221" s="83"/>
      <c r="H221" s="84"/>
    </row>
    <row r="222">
      <c r="F222" s="64"/>
      <c r="G222" s="83"/>
      <c r="H222" s="84"/>
    </row>
    <row r="223">
      <c r="F223" s="64"/>
      <c r="G223" s="83"/>
      <c r="H223" s="84"/>
    </row>
    <row r="224">
      <c r="F224" s="64"/>
      <c r="G224" s="83"/>
      <c r="H224" s="84"/>
    </row>
    <row r="225">
      <c r="F225" s="64"/>
      <c r="G225" s="83"/>
      <c r="H225" s="84"/>
    </row>
    <row r="226">
      <c r="F226" s="64"/>
      <c r="G226" s="83"/>
      <c r="H226" s="84"/>
    </row>
    <row r="227">
      <c r="F227" s="64"/>
      <c r="G227" s="83"/>
      <c r="H227" s="84"/>
    </row>
    <row r="228">
      <c r="F228" s="64"/>
      <c r="G228" s="83"/>
      <c r="H228" s="84"/>
    </row>
    <row r="229">
      <c r="F229" s="64"/>
      <c r="G229" s="83"/>
      <c r="H229" s="84"/>
    </row>
    <row r="230">
      <c r="F230" s="64"/>
      <c r="G230" s="83"/>
      <c r="H230" s="84"/>
    </row>
    <row r="231">
      <c r="F231" s="64"/>
      <c r="G231" s="83"/>
      <c r="H231" s="84"/>
    </row>
    <row r="232">
      <c r="F232" s="64"/>
      <c r="G232" s="83"/>
      <c r="H232" s="84"/>
    </row>
    <row r="233">
      <c r="F233" s="64"/>
      <c r="G233" s="83"/>
      <c r="H233" s="84"/>
    </row>
    <row r="234">
      <c r="F234" s="64"/>
      <c r="G234" s="83"/>
      <c r="H234" s="84"/>
    </row>
    <row r="235">
      <c r="F235" s="64"/>
      <c r="G235" s="83"/>
      <c r="H235" s="84"/>
    </row>
    <row r="236">
      <c r="F236" s="64"/>
      <c r="G236" s="83"/>
      <c r="H236" s="84"/>
    </row>
    <row r="237">
      <c r="F237" s="64"/>
      <c r="G237" s="83"/>
      <c r="H237" s="84"/>
    </row>
    <row r="238">
      <c r="F238" s="64"/>
      <c r="G238" s="83"/>
      <c r="H238" s="84"/>
    </row>
    <row r="239">
      <c r="F239" s="64"/>
      <c r="G239" s="83"/>
      <c r="H239" s="84"/>
    </row>
    <row r="240">
      <c r="F240" s="64"/>
      <c r="G240" s="83"/>
      <c r="H240" s="84"/>
    </row>
    <row r="241">
      <c r="F241" s="64"/>
      <c r="G241" s="83"/>
      <c r="H241" s="84"/>
    </row>
    <row r="242">
      <c r="F242" s="64"/>
      <c r="G242" s="83"/>
      <c r="H242" s="84"/>
    </row>
    <row r="243">
      <c r="F243" s="64"/>
      <c r="G243" s="83"/>
      <c r="H243" s="84"/>
    </row>
    <row r="244">
      <c r="F244" s="64"/>
      <c r="G244" s="83"/>
      <c r="H244" s="84"/>
    </row>
    <row r="245">
      <c r="F245" s="64"/>
      <c r="G245" s="83"/>
      <c r="H245" s="84"/>
    </row>
    <row r="246">
      <c r="F246" s="64"/>
      <c r="G246" s="83"/>
      <c r="H246" s="84"/>
    </row>
    <row r="247">
      <c r="F247" s="64"/>
      <c r="G247" s="83"/>
      <c r="H247" s="84"/>
    </row>
    <row r="248">
      <c r="F248" s="64"/>
      <c r="G248" s="83"/>
      <c r="H248" s="84"/>
    </row>
    <row r="249">
      <c r="F249" s="64"/>
      <c r="G249" s="83"/>
      <c r="H249" s="84"/>
    </row>
    <row r="250">
      <c r="F250" s="64"/>
      <c r="G250" s="83"/>
      <c r="H250" s="84"/>
    </row>
    <row r="251">
      <c r="F251" s="64"/>
      <c r="G251" s="83"/>
      <c r="H251" s="84"/>
    </row>
    <row r="252">
      <c r="F252" s="64"/>
      <c r="G252" s="83"/>
      <c r="H252" s="84"/>
    </row>
    <row r="253">
      <c r="F253" s="64"/>
      <c r="G253" s="83"/>
      <c r="H253" s="84"/>
    </row>
    <row r="254">
      <c r="F254" s="64"/>
      <c r="G254" s="83"/>
      <c r="H254" s="84"/>
    </row>
    <row r="255">
      <c r="F255" s="64"/>
      <c r="G255" s="83"/>
      <c r="H255" s="84"/>
    </row>
    <row r="256">
      <c r="F256" s="64"/>
      <c r="G256" s="83"/>
      <c r="H256" s="84"/>
    </row>
    <row r="257">
      <c r="F257" s="64"/>
      <c r="G257" s="83"/>
      <c r="H257" s="84"/>
    </row>
    <row r="258">
      <c r="F258" s="64"/>
      <c r="G258" s="83"/>
      <c r="H258" s="84"/>
    </row>
    <row r="259">
      <c r="F259" s="64"/>
      <c r="G259" s="83"/>
      <c r="H259" s="84"/>
    </row>
    <row r="260">
      <c r="F260" s="64"/>
      <c r="G260" s="83"/>
      <c r="H260" s="84"/>
    </row>
    <row r="261">
      <c r="F261" s="64"/>
      <c r="G261" s="83"/>
      <c r="H261" s="84"/>
    </row>
    <row r="262">
      <c r="F262" s="64"/>
      <c r="G262" s="83"/>
      <c r="H262" s="84"/>
    </row>
    <row r="263">
      <c r="F263" s="64"/>
      <c r="G263" s="83"/>
      <c r="H263" s="84"/>
    </row>
    <row r="264">
      <c r="F264" s="64"/>
      <c r="G264" s="83"/>
      <c r="H264" s="84"/>
    </row>
    <row r="265">
      <c r="F265" s="64"/>
      <c r="G265" s="83"/>
      <c r="H265" s="84"/>
    </row>
    <row r="266">
      <c r="F266" s="64"/>
      <c r="G266" s="83"/>
      <c r="H266" s="84"/>
    </row>
    <row r="267">
      <c r="F267" s="64"/>
      <c r="G267" s="83"/>
      <c r="H267" s="84"/>
    </row>
    <row r="268">
      <c r="F268" s="64"/>
      <c r="G268" s="83"/>
      <c r="H268" s="84"/>
    </row>
    <row r="269">
      <c r="F269" s="64"/>
      <c r="G269" s="83"/>
      <c r="H269" s="84"/>
    </row>
    <row r="270">
      <c r="F270" s="64"/>
      <c r="G270" s="83"/>
      <c r="H270" s="84"/>
    </row>
    <row r="271">
      <c r="F271" s="64"/>
      <c r="G271" s="83"/>
      <c r="H271" s="84"/>
    </row>
    <row r="272">
      <c r="F272" s="64"/>
      <c r="G272" s="83"/>
      <c r="H272" s="84"/>
    </row>
    <row r="273">
      <c r="F273" s="64"/>
      <c r="G273" s="83"/>
      <c r="H273" s="84"/>
    </row>
    <row r="274">
      <c r="F274" s="64"/>
      <c r="G274" s="83"/>
      <c r="H274" s="84"/>
    </row>
    <row r="275">
      <c r="F275" s="64"/>
      <c r="G275" s="83"/>
      <c r="H275" s="84"/>
    </row>
    <row r="276">
      <c r="F276" s="64"/>
      <c r="G276" s="83"/>
      <c r="H276" s="84"/>
    </row>
    <row r="277">
      <c r="F277" s="64"/>
      <c r="G277" s="83"/>
      <c r="H277" s="84"/>
    </row>
    <row r="278">
      <c r="F278" s="64"/>
      <c r="G278" s="83"/>
      <c r="H278" s="84"/>
    </row>
    <row r="279">
      <c r="F279" s="64"/>
      <c r="G279" s="83"/>
      <c r="H279" s="84"/>
    </row>
    <row r="280">
      <c r="F280" s="64"/>
      <c r="G280" s="83"/>
      <c r="H280" s="84"/>
    </row>
    <row r="281">
      <c r="F281" s="64"/>
      <c r="G281" s="83"/>
      <c r="H281" s="84"/>
    </row>
    <row r="282">
      <c r="F282" s="64"/>
      <c r="G282" s="83"/>
      <c r="H282" s="84"/>
    </row>
    <row r="283">
      <c r="F283" s="64"/>
      <c r="G283" s="83"/>
      <c r="H283" s="84"/>
    </row>
    <row r="284">
      <c r="F284" s="64"/>
      <c r="G284" s="83"/>
      <c r="H284" s="84"/>
    </row>
    <row r="285">
      <c r="F285" s="64"/>
      <c r="G285" s="83"/>
      <c r="H285" s="84"/>
    </row>
    <row r="286">
      <c r="F286" s="64"/>
      <c r="G286" s="83"/>
      <c r="H286" s="84"/>
    </row>
    <row r="287">
      <c r="F287" s="64"/>
      <c r="G287" s="83"/>
      <c r="H287" s="84"/>
    </row>
    <row r="288">
      <c r="F288" s="64"/>
      <c r="G288" s="83"/>
      <c r="H288" s="84"/>
    </row>
    <row r="289">
      <c r="F289" s="64"/>
      <c r="G289" s="83"/>
      <c r="H289" s="84"/>
    </row>
    <row r="290">
      <c r="F290" s="64"/>
      <c r="G290" s="83"/>
      <c r="H290" s="84"/>
    </row>
    <row r="291">
      <c r="F291" s="64"/>
      <c r="G291" s="83"/>
      <c r="H291" s="84"/>
    </row>
    <row r="292">
      <c r="F292" s="64"/>
      <c r="G292" s="83"/>
      <c r="H292" s="84"/>
    </row>
    <row r="293">
      <c r="F293" s="64"/>
      <c r="G293" s="83"/>
      <c r="H293" s="84"/>
    </row>
    <row r="294">
      <c r="F294" s="64"/>
      <c r="G294" s="83"/>
      <c r="H294" s="84"/>
    </row>
    <row r="295">
      <c r="F295" s="64"/>
      <c r="G295" s="83"/>
      <c r="H295" s="84"/>
    </row>
    <row r="296">
      <c r="F296" s="64"/>
      <c r="G296" s="83"/>
      <c r="H296" s="84"/>
    </row>
    <row r="297">
      <c r="F297" s="64"/>
      <c r="G297" s="83"/>
      <c r="H297" s="84"/>
    </row>
    <row r="298">
      <c r="F298" s="64"/>
      <c r="G298" s="83"/>
      <c r="H298" s="84"/>
    </row>
    <row r="299">
      <c r="F299" s="64"/>
      <c r="G299" s="83"/>
      <c r="H299" s="84"/>
    </row>
    <row r="300">
      <c r="F300" s="64"/>
      <c r="G300" s="83"/>
      <c r="H300" s="84"/>
    </row>
    <row r="301">
      <c r="F301" s="64"/>
      <c r="G301" s="83"/>
      <c r="H301" s="84"/>
    </row>
    <row r="302">
      <c r="F302" s="64"/>
      <c r="G302" s="83"/>
      <c r="H302" s="84"/>
    </row>
    <row r="303">
      <c r="F303" s="64"/>
      <c r="G303" s="83"/>
      <c r="H303" s="84"/>
    </row>
    <row r="304">
      <c r="F304" s="64"/>
      <c r="G304" s="83"/>
      <c r="H304" s="84"/>
    </row>
    <row r="305">
      <c r="F305" s="64"/>
      <c r="G305" s="83"/>
      <c r="H305" s="84"/>
    </row>
    <row r="306">
      <c r="F306" s="64"/>
      <c r="G306" s="83"/>
      <c r="H306" s="84"/>
    </row>
    <row r="307">
      <c r="F307" s="64"/>
      <c r="G307" s="83"/>
      <c r="H307" s="84"/>
    </row>
    <row r="308">
      <c r="F308" s="64"/>
      <c r="G308" s="83"/>
      <c r="H308" s="84"/>
    </row>
    <row r="309">
      <c r="F309" s="64"/>
      <c r="G309" s="83"/>
      <c r="H309" s="84"/>
    </row>
    <row r="310">
      <c r="F310" s="64"/>
      <c r="G310" s="83"/>
      <c r="H310" s="84"/>
    </row>
    <row r="311">
      <c r="F311" s="64"/>
      <c r="G311" s="83"/>
      <c r="H311" s="84"/>
    </row>
    <row r="312">
      <c r="F312" s="64"/>
      <c r="G312" s="83"/>
      <c r="H312" s="84"/>
    </row>
    <row r="313">
      <c r="F313" s="64"/>
      <c r="G313" s="83"/>
      <c r="H313" s="84"/>
    </row>
    <row r="314">
      <c r="F314" s="64"/>
      <c r="G314" s="83"/>
      <c r="H314" s="84"/>
    </row>
    <row r="315">
      <c r="F315" s="64"/>
      <c r="G315" s="83"/>
      <c r="H315" s="84"/>
    </row>
    <row r="316">
      <c r="F316" s="64"/>
      <c r="G316" s="83"/>
      <c r="H316" s="84"/>
    </row>
    <row r="317">
      <c r="F317" s="64"/>
      <c r="G317" s="83"/>
      <c r="H317" s="84"/>
    </row>
    <row r="318">
      <c r="F318" s="64"/>
      <c r="G318" s="83"/>
      <c r="H318" s="84"/>
    </row>
    <row r="319">
      <c r="F319" s="64"/>
      <c r="G319" s="83"/>
      <c r="H319" s="84"/>
    </row>
    <row r="320">
      <c r="F320" s="64"/>
      <c r="G320" s="83"/>
      <c r="H320" s="84"/>
    </row>
    <row r="321">
      <c r="F321" s="64"/>
      <c r="G321" s="83"/>
      <c r="H321" s="84"/>
    </row>
    <row r="322">
      <c r="F322" s="64"/>
      <c r="G322" s="83"/>
      <c r="H322" s="84"/>
    </row>
    <row r="323">
      <c r="F323" s="64"/>
      <c r="G323" s="83"/>
      <c r="H323" s="84"/>
    </row>
    <row r="324">
      <c r="F324" s="64"/>
      <c r="G324" s="83"/>
      <c r="H324" s="84"/>
    </row>
    <row r="325">
      <c r="F325" s="64"/>
      <c r="G325" s="83"/>
      <c r="H325" s="84"/>
    </row>
    <row r="326">
      <c r="F326" s="64"/>
      <c r="G326" s="83"/>
      <c r="H326" s="84"/>
    </row>
    <row r="327">
      <c r="F327" s="64"/>
      <c r="G327" s="83"/>
      <c r="H327" s="84"/>
    </row>
    <row r="328">
      <c r="F328" s="64"/>
      <c r="G328" s="83"/>
      <c r="H328" s="84"/>
    </row>
    <row r="329">
      <c r="F329" s="64"/>
      <c r="G329" s="83"/>
      <c r="H329" s="84"/>
    </row>
    <row r="330">
      <c r="F330" s="64"/>
      <c r="G330" s="83"/>
      <c r="H330" s="84"/>
    </row>
    <row r="331">
      <c r="F331" s="64"/>
      <c r="G331" s="83"/>
      <c r="H331" s="84"/>
    </row>
    <row r="332">
      <c r="F332" s="64"/>
      <c r="G332" s="83"/>
      <c r="H332" s="84"/>
    </row>
    <row r="333">
      <c r="F333" s="64"/>
      <c r="G333" s="83"/>
      <c r="H333" s="84"/>
    </row>
    <row r="334">
      <c r="F334" s="64"/>
      <c r="G334" s="83"/>
      <c r="H334" s="84"/>
    </row>
    <row r="335">
      <c r="F335" s="64"/>
      <c r="G335" s="83"/>
      <c r="H335" s="84"/>
    </row>
    <row r="336">
      <c r="F336" s="64"/>
      <c r="G336" s="83"/>
      <c r="H336" s="84"/>
    </row>
    <row r="337">
      <c r="F337" s="64"/>
      <c r="G337" s="83"/>
      <c r="H337" s="84"/>
    </row>
    <row r="338">
      <c r="F338" s="64"/>
      <c r="G338" s="83"/>
      <c r="H338" s="84"/>
    </row>
    <row r="339">
      <c r="F339" s="64"/>
      <c r="G339" s="83"/>
      <c r="H339" s="84"/>
    </row>
    <row r="340">
      <c r="F340" s="64"/>
      <c r="G340" s="83"/>
      <c r="H340" s="84"/>
    </row>
    <row r="341">
      <c r="F341" s="64"/>
      <c r="G341" s="83"/>
      <c r="H341" s="84"/>
    </row>
    <row r="342">
      <c r="F342" s="64"/>
      <c r="G342" s="83"/>
      <c r="H342" s="84"/>
    </row>
    <row r="343">
      <c r="F343" s="64"/>
      <c r="G343" s="83"/>
      <c r="H343" s="84"/>
    </row>
    <row r="344">
      <c r="F344" s="64"/>
      <c r="G344" s="83"/>
      <c r="H344" s="84"/>
    </row>
    <row r="345">
      <c r="F345" s="64"/>
      <c r="G345" s="83"/>
      <c r="H345" s="84"/>
    </row>
    <row r="346">
      <c r="F346" s="64"/>
      <c r="G346" s="83"/>
      <c r="H346" s="84"/>
    </row>
    <row r="347">
      <c r="F347" s="64"/>
      <c r="G347" s="83"/>
      <c r="H347" s="84"/>
    </row>
    <row r="348">
      <c r="F348" s="64"/>
      <c r="G348" s="83"/>
      <c r="H348" s="84"/>
    </row>
    <row r="349">
      <c r="F349" s="64"/>
      <c r="G349" s="83"/>
      <c r="H349" s="84"/>
    </row>
    <row r="350">
      <c r="F350" s="64"/>
      <c r="G350" s="83"/>
      <c r="H350" s="84"/>
    </row>
    <row r="351">
      <c r="F351" s="64"/>
      <c r="G351" s="83"/>
      <c r="H351" s="84"/>
    </row>
    <row r="352">
      <c r="F352" s="64"/>
      <c r="G352" s="83"/>
      <c r="H352" s="84"/>
    </row>
    <row r="353">
      <c r="F353" s="64"/>
      <c r="G353" s="83"/>
      <c r="H353" s="84"/>
    </row>
    <row r="354">
      <c r="F354" s="64"/>
      <c r="G354" s="83"/>
      <c r="H354" s="84"/>
    </row>
    <row r="355">
      <c r="F355" s="64"/>
      <c r="G355" s="83"/>
      <c r="H355" s="84"/>
    </row>
    <row r="356">
      <c r="F356" s="64"/>
      <c r="G356" s="83"/>
      <c r="H356" s="84"/>
    </row>
    <row r="357">
      <c r="F357" s="64"/>
      <c r="G357" s="83"/>
      <c r="H357" s="84"/>
    </row>
    <row r="358">
      <c r="F358" s="64"/>
      <c r="G358" s="83"/>
      <c r="H358" s="84"/>
    </row>
    <row r="359">
      <c r="F359" s="64"/>
      <c r="G359" s="83"/>
      <c r="H359" s="84"/>
    </row>
    <row r="360">
      <c r="F360" s="64"/>
      <c r="G360" s="83"/>
      <c r="H360" s="84"/>
    </row>
    <row r="361">
      <c r="F361" s="64"/>
      <c r="G361" s="83"/>
      <c r="H361" s="84"/>
    </row>
    <row r="362">
      <c r="F362" s="64"/>
      <c r="G362" s="83"/>
      <c r="H362" s="84"/>
    </row>
    <row r="363">
      <c r="F363" s="64"/>
      <c r="G363" s="83"/>
      <c r="H363" s="84"/>
    </row>
    <row r="364">
      <c r="F364" s="64"/>
      <c r="G364" s="83"/>
      <c r="H364" s="84"/>
    </row>
    <row r="365">
      <c r="F365" s="64"/>
      <c r="G365" s="83"/>
      <c r="H365" s="84"/>
    </row>
    <row r="366">
      <c r="F366" s="64"/>
      <c r="G366" s="83"/>
      <c r="H366" s="84"/>
    </row>
    <row r="367">
      <c r="F367" s="64"/>
      <c r="G367" s="83"/>
      <c r="H367" s="84"/>
    </row>
    <row r="368">
      <c r="F368" s="64"/>
      <c r="G368" s="83"/>
      <c r="H368" s="84"/>
    </row>
    <row r="369">
      <c r="F369" s="64"/>
      <c r="G369" s="83"/>
      <c r="H369" s="84"/>
    </row>
    <row r="370">
      <c r="F370" s="64"/>
      <c r="G370" s="83"/>
      <c r="H370" s="84"/>
    </row>
    <row r="371">
      <c r="F371" s="64"/>
      <c r="G371" s="83"/>
      <c r="H371" s="84"/>
    </row>
    <row r="372">
      <c r="F372" s="64"/>
      <c r="G372" s="83"/>
      <c r="H372" s="84"/>
    </row>
    <row r="373">
      <c r="F373" s="64"/>
      <c r="G373" s="83"/>
      <c r="H373" s="84"/>
    </row>
    <row r="374">
      <c r="F374" s="64"/>
      <c r="G374" s="83"/>
      <c r="H374" s="84"/>
    </row>
    <row r="375">
      <c r="F375" s="64"/>
      <c r="G375" s="83"/>
      <c r="H375" s="84"/>
    </row>
    <row r="376">
      <c r="F376" s="64"/>
      <c r="G376" s="83"/>
      <c r="H376" s="84"/>
    </row>
    <row r="377">
      <c r="F377" s="64"/>
      <c r="G377" s="83"/>
      <c r="H377" s="84"/>
    </row>
    <row r="378">
      <c r="F378" s="64"/>
      <c r="G378" s="83"/>
      <c r="H378" s="84"/>
    </row>
    <row r="379">
      <c r="F379" s="64"/>
      <c r="G379" s="83"/>
      <c r="H379" s="84"/>
    </row>
    <row r="380">
      <c r="F380" s="64"/>
      <c r="G380" s="83"/>
      <c r="H380" s="84"/>
    </row>
    <row r="381">
      <c r="F381" s="64"/>
      <c r="G381" s="83"/>
      <c r="H381" s="84"/>
    </row>
    <row r="382">
      <c r="F382" s="64"/>
      <c r="G382" s="83"/>
      <c r="H382" s="84"/>
    </row>
    <row r="383">
      <c r="F383" s="64"/>
      <c r="G383" s="83"/>
      <c r="H383" s="84"/>
    </row>
    <row r="384">
      <c r="F384" s="64"/>
      <c r="G384" s="83"/>
      <c r="H384" s="84"/>
    </row>
    <row r="385">
      <c r="F385" s="64"/>
      <c r="G385" s="83"/>
      <c r="H385" s="84"/>
    </row>
    <row r="386">
      <c r="F386" s="64"/>
      <c r="G386" s="83"/>
      <c r="H386" s="84"/>
    </row>
    <row r="387">
      <c r="F387" s="64"/>
      <c r="G387" s="83"/>
      <c r="H387" s="84"/>
    </row>
    <row r="388">
      <c r="F388" s="64"/>
      <c r="G388" s="83"/>
      <c r="H388" s="84"/>
    </row>
    <row r="389">
      <c r="F389" s="64"/>
      <c r="G389" s="83"/>
      <c r="H389" s="84"/>
    </row>
    <row r="390">
      <c r="F390" s="64"/>
      <c r="G390" s="83"/>
      <c r="H390" s="84"/>
    </row>
    <row r="391">
      <c r="F391" s="64"/>
      <c r="G391" s="83"/>
      <c r="H391" s="84"/>
    </row>
    <row r="392">
      <c r="F392" s="64"/>
      <c r="G392" s="83"/>
      <c r="H392" s="84"/>
    </row>
    <row r="393">
      <c r="F393" s="64"/>
      <c r="G393" s="83"/>
      <c r="H393" s="84"/>
    </row>
    <row r="394">
      <c r="F394" s="64"/>
      <c r="G394" s="83"/>
      <c r="H394" s="84"/>
    </row>
    <row r="395">
      <c r="F395" s="64"/>
      <c r="G395" s="83"/>
      <c r="H395" s="84"/>
    </row>
    <row r="396">
      <c r="F396" s="64"/>
      <c r="G396" s="83"/>
      <c r="H396" s="84"/>
    </row>
    <row r="397">
      <c r="F397" s="64"/>
      <c r="G397" s="83"/>
      <c r="H397" s="84"/>
    </row>
    <row r="398">
      <c r="F398" s="64"/>
      <c r="G398" s="83"/>
      <c r="H398" s="84"/>
    </row>
    <row r="399">
      <c r="F399" s="64"/>
      <c r="G399" s="83"/>
      <c r="H399" s="84"/>
    </row>
    <row r="400">
      <c r="F400" s="64"/>
      <c r="G400" s="83"/>
      <c r="H400" s="84"/>
    </row>
    <row r="401">
      <c r="F401" s="64"/>
      <c r="G401" s="83"/>
      <c r="H401" s="84"/>
    </row>
    <row r="402">
      <c r="F402" s="64"/>
      <c r="G402" s="83"/>
      <c r="H402" s="84"/>
    </row>
    <row r="403">
      <c r="F403" s="64"/>
      <c r="G403" s="83"/>
      <c r="H403" s="84"/>
    </row>
    <row r="404">
      <c r="F404" s="64"/>
      <c r="G404" s="83"/>
      <c r="H404" s="84"/>
    </row>
    <row r="405">
      <c r="F405" s="64"/>
      <c r="G405" s="83"/>
      <c r="H405" s="84"/>
    </row>
    <row r="406">
      <c r="F406" s="64"/>
      <c r="G406" s="83"/>
      <c r="H406" s="84"/>
    </row>
    <row r="407">
      <c r="F407" s="64"/>
      <c r="G407" s="83"/>
      <c r="H407" s="84"/>
    </row>
    <row r="408">
      <c r="F408" s="64"/>
      <c r="G408" s="83"/>
      <c r="H408" s="84"/>
    </row>
    <row r="409">
      <c r="F409" s="64"/>
      <c r="G409" s="83"/>
      <c r="H409" s="84"/>
    </row>
    <row r="410">
      <c r="F410" s="64"/>
      <c r="G410" s="83"/>
      <c r="H410" s="84"/>
    </row>
    <row r="411">
      <c r="F411" s="64"/>
      <c r="G411" s="83"/>
      <c r="H411" s="84"/>
    </row>
    <row r="412">
      <c r="F412" s="64"/>
      <c r="G412" s="83"/>
      <c r="H412" s="84"/>
    </row>
    <row r="413">
      <c r="F413" s="64"/>
      <c r="G413" s="83"/>
      <c r="H413" s="84"/>
    </row>
    <row r="414">
      <c r="F414" s="64"/>
      <c r="G414" s="83"/>
      <c r="H414" s="84"/>
    </row>
    <row r="415">
      <c r="F415" s="64"/>
      <c r="G415" s="83"/>
      <c r="H415" s="84"/>
    </row>
    <row r="416">
      <c r="F416" s="64"/>
      <c r="G416" s="83"/>
      <c r="H416" s="84"/>
    </row>
    <row r="417">
      <c r="F417" s="64"/>
      <c r="G417" s="83"/>
      <c r="H417" s="84"/>
    </row>
    <row r="418">
      <c r="F418" s="64"/>
      <c r="G418" s="83"/>
      <c r="H418" s="84"/>
    </row>
    <row r="419">
      <c r="F419" s="64"/>
      <c r="G419" s="83"/>
      <c r="H419" s="84"/>
    </row>
    <row r="420">
      <c r="F420" s="64"/>
      <c r="G420" s="83"/>
      <c r="H420" s="84"/>
    </row>
    <row r="421">
      <c r="F421" s="64"/>
      <c r="G421" s="83"/>
      <c r="H421" s="84"/>
    </row>
    <row r="422">
      <c r="F422" s="64"/>
      <c r="G422" s="83"/>
      <c r="H422" s="84"/>
    </row>
    <row r="423">
      <c r="F423" s="64"/>
      <c r="G423" s="83"/>
      <c r="H423" s="84"/>
    </row>
    <row r="424">
      <c r="F424" s="64"/>
      <c r="G424" s="83"/>
      <c r="H424" s="84"/>
    </row>
    <row r="425">
      <c r="F425" s="64"/>
      <c r="G425" s="83"/>
      <c r="H425" s="84"/>
    </row>
    <row r="426">
      <c r="F426" s="64"/>
      <c r="G426" s="83"/>
      <c r="H426" s="84"/>
    </row>
    <row r="427">
      <c r="F427" s="64"/>
      <c r="G427" s="83"/>
      <c r="H427" s="84"/>
    </row>
    <row r="428">
      <c r="F428" s="64"/>
      <c r="G428" s="83"/>
      <c r="H428" s="84"/>
    </row>
    <row r="429">
      <c r="F429" s="64"/>
      <c r="G429" s="83"/>
      <c r="H429" s="84"/>
    </row>
    <row r="430">
      <c r="F430" s="64"/>
      <c r="G430" s="83"/>
      <c r="H430" s="84"/>
    </row>
    <row r="431">
      <c r="F431" s="64"/>
      <c r="G431" s="83"/>
      <c r="H431" s="84"/>
    </row>
    <row r="432">
      <c r="F432" s="64"/>
      <c r="G432" s="83"/>
      <c r="H432" s="84"/>
    </row>
    <row r="433">
      <c r="F433" s="64"/>
      <c r="G433" s="83"/>
      <c r="H433" s="84"/>
    </row>
    <row r="434">
      <c r="F434" s="64"/>
      <c r="G434" s="83"/>
      <c r="H434" s="84"/>
    </row>
    <row r="435">
      <c r="F435" s="64"/>
      <c r="G435" s="83"/>
      <c r="H435" s="84"/>
    </row>
    <row r="436">
      <c r="F436" s="64"/>
      <c r="G436" s="83"/>
      <c r="H436" s="84"/>
    </row>
    <row r="437">
      <c r="F437" s="64"/>
      <c r="G437" s="83"/>
      <c r="H437" s="84"/>
    </row>
    <row r="438">
      <c r="F438" s="64"/>
      <c r="G438" s="83"/>
      <c r="H438" s="84"/>
    </row>
    <row r="439">
      <c r="F439" s="64"/>
      <c r="G439" s="83"/>
      <c r="H439" s="84"/>
    </row>
    <row r="440">
      <c r="F440" s="64"/>
      <c r="G440" s="83"/>
      <c r="H440" s="84"/>
    </row>
    <row r="441">
      <c r="F441" s="64"/>
      <c r="G441" s="83"/>
      <c r="H441" s="84"/>
    </row>
    <row r="442">
      <c r="F442" s="64"/>
      <c r="G442" s="83"/>
      <c r="H442" s="84"/>
    </row>
    <row r="443">
      <c r="F443" s="64"/>
      <c r="G443" s="83"/>
      <c r="H443" s="84"/>
    </row>
    <row r="444">
      <c r="F444" s="64"/>
      <c r="G444" s="83"/>
      <c r="H444" s="84"/>
    </row>
    <row r="445">
      <c r="F445" s="64"/>
      <c r="G445" s="83"/>
      <c r="H445" s="84"/>
    </row>
    <row r="446">
      <c r="F446" s="64"/>
      <c r="G446" s="83"/>
      <c r="H446" s="84"/>
    </row>
    <row r="447">
      <c r="F447" s="64"/>
      <c r="G447" s="83"/>
      <c r="H447" s="84"/>
    </row>
    <row r="448">
      <c r="F448" s="64"/>
      <c r="G448" s="83"/>
      <c r="H448" s="84"/>
    </row>
    <row r="449">
      <c r="F449" s="64"/>
      <c r="G449" s="83"/>
      <c r="H449" s="84"/>
    </row>
    <row r="450">
      <c r="F450" s="64"/>
      <c r="G450" s="83"/>
      <c r="H450" s="84"/>
    </row>
    <row r="451">
      <c r="F451" s="64"/>
      <c r="G451" s="83"/>
      <c r="H451" s="84"/>
    </row>
    <row r="452">
      <c r="F452" s="64"/>
      <c r="G452" s="83"/>
      <c r="H452" s="84"/>
    </row>
    <row r="453">
      <c r="F453" s="64"/>
      <c r="G453" s="83"/>
      <c r="H453" s="84"/>
    </row>
    <row r="454">
      <c r="F454" s="64"/>
      <c r="G454" s="83"/>
      <c r="H454" s="84"/>
    </row>
    <row r="455">
      <c r="F455" s="64"/>
      <c r="G455" s="83"/>
      <c r="H455" s="84"/>
    </row>
    <row r="456">
      <c r="F456" s="64"/>
      <c r="G456" s="83"/>
      <c r="H456" s="84"/>
    </row>
    <row r="457">
      <c r="F457" s="64"/>
      <c r="G457" s="83"/>
      <c r="H457" s="84"/>
    </row>
    <row r="458">
      <c r="F458" s="64"/>
      <c r="G458" s="83"/>
      <c r="H458" s="84"/>
    </row>
    <row r="459">
      <c r="F459" s="64"/>
      <c r="G459" s="83"/>
      <c r="H459" s="84"/>
    </row>
    <row r="460">
      <c r="F460" s="64"/>
      <c r="G460" s="83"/>
      <c r="H460" s="84"/>
    </row>
    <row r="461">
      <c r="F461" s="64"/>
      <c r="G461" s="83"/>
      <c r="H461" s="84"/>
    </row>
    <row r="462">
      <c r="F462" s="64"/>
      <c r="G462" s="83"/>
      <c r="H462" s="84"/>
    </row>
    <row r="463">
      <c r="F463" s="64"/>
      <c r="G463" s="83"/>
      <c r="H463" s="84"/>
    </row>
    <row r="464">
      <c r="F464" s="64"/>
      <c r="G464" s="83"/>
      <c r="H464" s="84"/>
    </row>
    <row r="465">
      <c r="F465" s="64"/>
      <c r="G465" s="83"/>
      <c r="H465" s="84"/>
    </row>
    <row r="466">
      <c r="F466" s="64"/>
      <c r="G466" s="83"/>
      <c r="H466" s="84"/>
    </row>
    <row r="467">
      <c r="F467" s="64"/>
      <c r="G467" s="83"/>
      <c r="H467" s="84"/>
    </row>
    <row r="468">
      <c r="F468" s="64"/>
      <c r="G468" s="83"/>
      <c r="H468" s="84"/>
    </row>
    <row r="469">
      <c r="F469" s="64"/>
      <c r="G469" s="83"/>
      <c r="H469" s="84"/>
    </row>
    <row r="470">
      <c r="F470" s="64"/>
      <c r="G470" s="83"/>
      <c r="H470" s="84"/>
    </row>
    <row r="471">
      <c r="F471" s="64"/>
      <c r="G471" s="83"/>
      <c r="H471" s="84"/>
    </row>
    <row r="472">
      <c r="F472" s="64"/>
      <c r="G472" s="83"/>
      <c r="H472" s="84"/>
    </row>
    <row r="473">
      <c r="F473" s="64"/>
      <c r="G473" s="83"/>
      <c r="H473" s="84"/>
    </row>
    <row r="474">
      <c r="F474" s="64"/>
      <c r="G474" s="83"/>
      <c r="H474" s="84"/>
    </row>
    <row r="475">
      <c r="F475" s="64"/>
      <c r="G475" s="83"/>
      <c r="H475" s="84"/>
    </row>
    <row r="476">
      <c r="F476" s="64"/>
      <c r="G476" s="83"/>
      <c r="H476" s="84"/>
    </row>
    <row r="477">
      <c r="F477" s="64"/>
      <c r="G477" s="83"/>
      <c r="H477" s="84"/>
    </row>
    <row r="478">
      <c r="F478" s="64"/>
      <c r="G478" s="83"/>
      <c r="H478" s="84"/>
    </row>
    <row r="479">
      <c r="F479" s="64"/>
      <c r="G479" s="83"/>
      <c r="H479" s="84"/>
    </row>
    <row r="480">
      <c r="F480" s="64"/>
      <c r="G480" s="83"/>
      <c r="H480" s="84"/>
    </row>
    <row r="481">
      <c r="F481" s="64"/>
      <c r="G481" s="83"/>
      <c r="H481" s="84"/>
    </row>
    <row r="482">
      <c r="F482" s="64"/>
      <c r="G482" s="83"/>
      <c r="H482" s="84"/>
    </row>
    <row r="483">
      <c r="F483" s="64"/>
      <c r="G483" s="83"/>
      <c r="H483" s="84"/>
    </row>
    <row r="484">
      <c r="F484" s="64"/>
      <c r="G484" s="83"/>
      <c r="H484" s="84"/>
    </row>
    <row r="485">
      <c r="F485" s="64"/>
      <c r="G485" s="83"/>
      <c r="H485" s="84"/>
    </row>
    <row r="486">
      <c r="F486" s="64"/>
      <c r="G486" s="83"/>
      <c r="H486" s="84"/>
    </row>
    <row r="487">
      <c r="F487" s="64"/>
      <c r="G487" s="83"/>
      <c r="H487" s="84"/>
    </row>
    <row r="488">
      <c r="F488" s="64"/>
      <c r="G488" s="83"/>
      <c r="H488" s="84"/>
    </row>
    <row r="489">
      <c r="F489" s="64"/>
      <c r="G489" s="83"/>
      <c r="H489" s="84"/>
    </row>
    <row r="490">
      <c r="F490" s="64"/>
      <c r="G490" s="83"/>
      <c r="H490" s="84"/>
    </row>
    <row r="491">
      <c r="F491" s="64"/>
      <c r="G491" s="83"/>
      <c r="H491" s="84"/>
    </row>
    <row r="492">
      <c r="F492" s="64"/>
      <c r="G492" s="83"/>
      <c r="H492" s="84"/>
    </row>
    <row r="493">
      <c r="F493" s="64"/>
      <c r="G493" s="83"/>
      <c r="H493" s="84"/>
    </row>
    <row r="494">
      <c r="F494" s="64"/>
      <c r="G494" s="83"/>
      <c r="H494" s="84"/>
    </row>
    <row r="495">
      <c r="F495" s="64"/>
      <c r="G495" s="83"/>
      <c r="H495" s="84"/>
    </row>
    <row r="496">
      <c r="F496" s="64"/>
      <c r="G496" s="83"/>
      <c r="H496" s="84"/>
    </row>
    <row r="497">
      <c r="F497" s="64"/>
      <c r="G497" s="83"/>
      <c r="H497" s="84"/>
    </row>
    <row r="498">
      <c r="F498" s="64"/>
      <c r="G498" s="83"/>
      <c r="H498" s="84"/>
    </row>
    <row r="499">
      <c r="F499" s="64"/>
      <c r="G499" s="83"/>
      <c r="H499" s="84"/>
    </row>
    <row r="500">
      <c r="F500" s="64"/>
      <c r="G500" s="83"/>
      <c r="H500" s="84"/>
    </row>
    <row r="501">
      <c r="F501" s="64"/>
      <c r="G501" s="83"/>
      <c r="H501" s="84"/>
    </row>
    <row r="502">
      <c r="F502" s="64"/>
      <c r="G502" s="83"/>
      <c r="H502" s="84"/>
    </row>
    <row r="503">
      <c r="F503" s="64"/>
      <c r="G503" s="83"/>
      <c r="H503" s="84"/>
    </row>
    <row r="504">
      <c r="F504" s="64"/>
      <c r="G504" s="83"/>
      <c r="H504" s="84"/>
    </row>
    <row r="505">
      <c r="F505" s="64"/>
      <c r="G505" s="83"/>
      <c r="H505" s="84"/>
    </row>
    <row r="506">
      <c r="F506" s="64"/>
      <c r="G506" s="83"/>
      <c r="H506" s="84"/>
    </row>
    <row r="507">
      <c r="F507" s="64"/>
      <c r="G507" s="83"/>
      <c r="H507" s="84"/>
    </row>
    <row r="508">
      <c r="F508" s="64"/>
      <c r="G508" s="83"/>
      <c r="H508" s="84"/>
    </row>
    <row r="509">
      <c r="F509" s="64"/>
      <c r="G509" s="83"/>
      <c r="H509" s="84"/>
    </row>
    <row r="510">
      <c r="F510" s="64"/>
      <c r="G510" s="83"/>
      <c r="H510" s="84"/>
    </row>
    <row r="511">
      <c r="F511" s="64"/>
      <c r="G511" s="83"/>
      <c r="H511" s="84"/>
    </row>
    <row r="512">
      <c r="F512" s="64"/>
      <c r="G512" s="83"/>
      <c r="H512" s="84"/>
    </row>
    <row r="513">
      <c r="F513" s="64"/>
      <c r="G513" s="83"/>
      <c r="H513" s="84"/>
    </row>
    <row r="514">
      <c r="F514" s="64"/>
      <c r="G514" s="83"/>
      <c r="H514" s="84"/>
    </row>
    <row r="515">
      <c r="F515" s="64"/>
      <c r="G515" s="83"/>
      <c r="H515" s="84"/>
    </row>
    <row r="516">
      <c r="F516" s="64"/>
      <c r="G516" s="83"/>
      <c r="H516" s="84"/>
    </row>
    <row r="517">
      <c r="F517" s="64"/>
      <c r="G517" s="83"/>
      <c r="H517" s="84"/>
    </row>
    <row r="518">
      <c r="F518" s="64"/>
      <c r="G518" s="83"/>
      <c r="H518" s="84"/>
    </row>
    <row r="519">
      <c r="F519" s="64"/>
      <c r="G519" s="83"/>
      <c r="H519" s="84"/>
    </row>
    <row r="520">
      <c r="F520" s="64"/>
      <c r="G520" s="83"/>
      <c r="H520" s="84"/>
    </row>
    <row r="521">
      <c r="F521" s="64"/>
      <c r="G521" s="83"/>
      <c r="H521" s="84"/>
    </row>
    <row r="522">
      <c r="F522" s="64"/>
      <c r="G522" s="83"/>
      <c r="H522" s="84"/>
    </row>
    <row r="523">
      <c r="F523" s="64"/>
      <c r="G523" s="83"/>
      <c r="H523" s="84"/>
    </row>
    <row r="524">
      <c r="F524" s="64"/>
      <c r="G524" s="83"/>
      <c r="H524" s="84"/>
    </row>
    <row r="525">
      <c r="F525" s="64"/>
      <c r="G525" s="83"/>
      <c r="H525" s="84"/>
    </row>
    <row r="526">
      <c r="F526" s="64"/>
      <c r="G526" s="83"/>
      <c r="H526" s="84"/>
    </row>
    <row r="527">
      <c r="F527" s="64"/>
      <c r="G527" s="83"/>
      <c r="H527" s="84"/>
    </row>
    <row r="528">
      <c r="F528" s="64"/>
      <c r="G528" s="83"/>
      <c r="H528" s="84"/>
    </row>
    <row r="529">
      <c r="F529" s="64"/>
      <c r="G529" s="83"/>
      <c r="H529" s="84"/>
    </row>
    <row r="530">
      <c r="F530" s="64"/>
      <c r="G530" s="83"/>
      <c r="H530" s="84"/>
    </row>
    <row r="531">
      <c r="F531" s="64"/>
      <c r="G531" s="83"/>
      <c r="H531" s="84"/>
    </row>
    <row r="532">
      <c r="F532" s="64"/>
      <c r="G532" s="83"/>
      <c r="H532" s="84"/>
    </row>
    <row r="533">
      <c r="F533" s="64"/>
      <c r="G533" s="83"/>
      <c r="H533" s="84"/>
    </row>
    <row r="534">
      <c r="F534" s="64"/>
      <c r="G534" s="83"/>
      <c r="H534" s="84"/>
    </row>
    <row r="535">
      <c r="F535" s="64"/>
      <c r="G535" s="83"/>
      <c r="H535" s="84"/>
    </row>
    <row r="536">
      <c r="F536" s="64"/>
      <c r="G536" s="83"/>
      <c r="H536" s="84"/>
    </row>
    <row r="537">
      <c r="F537" s="64"/>
      <c r="G537" s="83"/>
      <c r="H537" s="84"/>
    </row>
    <row r="538">
      <c r="F538" s="64"/>
      <c r="G538" s="83"/>
      <c r="H538" s="84"/>
    </row>
    <row r="539">
      <c r="F539" s="64"/>
      <c r="G539" s="83"/>
      <c r="H539" s="84"/>
    </row>
    <row r="540">
      <c r="F540" s="64"/>
      <c r="G540" s="83"/>
      <c r="H540" s="84"/>
    </row>
    <row r="541">
      <c r="F541" s="64"/>
      <c r="G541" s="83"/>
      <c r="H541" s="84"/>
    </row>
    <row r="542">
      <c r="F542" s="64"/>
      <c r="G542" s="83"/>
      <c r="H542" s="84"/>
    </row>
    <row r="543">
      <c r="F543" s="64"/>
      <c r="G543" s="83"/>
      <c r="H543" s="84"/>
    </row>
    <row r="544">
      <c r="F544" s="64"/>
      <c r="G544" s="83"/>
      <c r="H544" s="84"/>
    </row>
    <row r="545">
      <c r="F545" s="64"/>
      <c r="G545" s="83"/>
      <c r="H545" s="84"/>
    </row>
    <row r="546">
      <c r="F546" s="64"/>
      <c r="G546" s="83"/>
      <c r="H546" s="84"/>
    </row>
    <row r="547">
      <c r="F547" s="64"/>
      <c r="G547" s="83"/>
      <c r="H547" s="84"/>
    </row>
    <row r="548">
      <c r="F548" s="64"/>
      <c r="G548" s="83"/>
      <c r="H548" s="84"/>
    </row>
    <row r="549">
      <c r="F549" s="64"/>
      <c r="G549" s="83"/>
      <c r="H549" s="84"/>
    </row>
    <row r="550">
      <c r="F550" s="64"/>
      <c r="G550" s="83"/>
      <c r="H550" s="84"/>
    </row>
    <row r="551">
      <c r="F551" s="64"/>
      <c r="G551" s="83"/>
      <c r="H551" s="84"/>
    </row>
    <row r="552">
      <c r="F552" s="64"/>
      <c r="G552" s="83"/>
      <c r="H552" s="84"/>
    </row>
    <row r="553">
      <c r="F553" s="64"/>
      <c r="G553" s="83"/>
      <c r="H553" s="84"/>
    </row>
    <row r="554">
      <c r="F554" s="64"/>
      <c r="G554" s="83"/>
      <c r="H554" s="84"/>
    </row>
    <row r="555">
      <c r="F555" s="64"/>
      <c r="G555" s="83"/>
      <c r="H555" s="84"/>
    </row>
    <row r="556">
      <c r="F556" s="64"/>
      <c r="G556" s="83"/>
      <c r="H556" s="84"/>
    </row>
    <row r="557">
      <c r="F557" s="64"/>
      <c r="G557" s="83"/>
      <c r="H557" s="84"/>
    </row>
    <row r="558">
      <c r="F558" s="64"/>
      <c r="G558" s="83"/>
      <c r="H558" s="84"/>
    </row>
    <row r="559">
      <c r="F559" s="64"/>
      <c r="G559" s="83"/>
      <c r="H559" s="84"/>
    </row>
    <row r="560">
      <c r="F560" s="64"/>
      <c r="G560" s="83"/>
      <c r="H560" s="84"/>
    </row>
    <row r="561">
      <c r="F561" s="64"/>
      <c r="G561" s="83"/>
      <c r="H561" s="84"/>
    </row>
    <row r="562">
      <c r="F562" s="64"/>
      <c r="G562" s="83"/>
      <c r="H562" s="84"/>
    </row>
    <row r="563">
      <c r="F563" s="64"/>
      <c r="G563" s="83"/>
      <c r="H563" s="84"/>
    </row>
    <row r="564">
      <c r="F564" s="64"/>
      <c r="G564" s="83"/>
      <c r="H564" s="84"/>
    </row>
    <row r="565">
      <c r="F565" s="64"/>
      <c r="G565" s="83"/>
      <c r="H565" s="84"/>
    </row>
    <row r="566">
      <c r="F566" s="64"/>
      <c r="G566" s="83"/>
      <c r="H566" s="84"/>
    </row>
    <row r="567">
      <c r="F567" s="64"/>
      <c r="G567" s="83"/>
      <c r="H567" s="84"/>
    </row>
    <row r="568">
      <c r="F568" s="64"/>
      <c r="G568" s="83"/>
      <c r="H568" s="84"/>
    </row>
    <row r="569">
      <c r="F569" s="64"/>
      <c r="G569" s="83"/>
      <c r="H569" s="84"/>
    </row>
    <row r="570">
      <c r="F570" s="64"/>
      <c r="G570" s="83"/>
      <c r="H570" s="84"/>
    </row>
    <row r="571">
      <c r="F571" s="64"/>
      <c r="G571" s="83"/>
      <c r="H571" s="84"/>
    </row>
    <row r="572">
      <c r="F572" s="64"/>
      <c r="G572" s="83"/>
      <c r="H572" s="84"/>
    </row>
    <row r="573">
      <c r="F573" s="64"/>
      <c r="G573" s="83"/>
      <c r="H573" s="84"/>
    </row>
    <row r="574">
      <c r="F574" s="64"/>
      <c r="G574" s="83"/>
      <c r="H574" s="84"/>
    </row>
    <row r="575">
      <c r="F575" s="64"/>
      <c r="G575" s="83"/>
      <c r="H575" s="84"/>
    </row>
    <row r="576">
      <c r="F576" s="64"/>
      <c r="G576" s="83"/>
      <c r="H576" s="84"/>
    </row>
    <row r="577">
      <c r="F577" s="64"/>
      <c r="G577" s="83"/>
      <c r="H577" s="84"/>
    </row>
    <row r="578">
      <c r="F578" s="64"/>
      <c r="G578" s="83"/>
      <c r="H578" s="84"/>
    </row>
    <row r="579">
      <c r="F579" s="64"/>
      <c r="G579" s="83"/>
      <c r="H579" s="84"/>
    </row>
    <row r="580">
      <c r="F580" s="64"/>
      <c r="G580" s="83"/>
      <c r="H580" s="84"/>
    </row>
    <row r="581">
      <c r="F581" s="64"/>
      <c r="G581" s="83"/>
      <c r="H581" s="84"/>
    </row>
    <row r="582">
      <c r="F582" s="64"/>
      <c r="G582" s="83"/>
      <c r="H582" s="84"/>
    </row>
    <row r="583">
      <c r="F583" s="64"/>
      <c r="G583" s="83"/>
      <c r="H583" s="84"/>
    </row>
    <row r="584">
      <c r="F584" s="64"/>
      <c r="G584" s="83"/>
      <c r="H584" s="84"/>
    </row>
    <row r="585">
      <c r="F585" s="64"/>
      <c r="G585" s="83"/>
      <c r="H585" s="84"/>
    </row>
    <row r="586">
      <c r="F586" s="64"/>
      <c r="G586" s="83"/>
      <c r="H586" s="84"/>
    </row>
    <row r="587">
      <c r="F587" s="64"/>
      <c r="G587" s="83"/>
      <c r="H587" s="84"/>
    </row>
    <row r="588">
      <c r="F588" s="64"/>
      <c r="G588" s="83"/>
      <c r="H588" s="84"/>
    </row>
    <row r="589">
      <c r="F589" s="64"/>
      <c r="G589" s="83"/>
      <c r="H589" s="84"/>
    </row>
    <row r="590">
      <c r="F590" s="64"/>
      <c r="G590" s="83"/>
      <c r="H590" s="84"/>
    </row>
    <row r="591">
      <c r="F591" s="64"/>
      <c r="G591" s="83"/>
      <c r="H591" s="84"/>
    </row>
    <row r="592">
      <c r="F592" s="64"/>
      <c r="G592" s="83"/>
      <c r="H592" s="84"/>
    </row>
    <row r="593">
      <c r="F593" s="64"/>
      <c r="G593" s="83"/>
      <c r="H593" s="84"/>
    </row>
    <row r="594">
      <c r="F594" s="64"/>
      <c r="G594" s="83"/>
      <c r="H594" s="84"/>
    </row>
    <row r="595">
      <c r="F595" s="64"/>
      <c r="G595" s="83"/>
      <c r="H595" s="84"/>
    </row>
    <row r="596">
      <c r="F596" s="64"/>
      <c r="G596" s="83"/>
      <c r="H596" s="84"/>
    </row>
    <row r="597">
      <c r="F597" s="64"/>
      <c r="G597" s="83"/>
      <c r="H597" s="84"/>
    </row>
    <row r="598">
      <c r="F598" s="64"/>
      <c r="G598" s="83"/>
      <c r="H598" s="84"/>
    </row>
    <row r="599">
      <c r="F599" s="64"/>
      <c r="G599" s="83"/>
      <c r="H599" s="84"/>
    </row>
    <row r="600">
      <c r="F600" s="64"/>
      <c r="G600" s="83"/>
      <c r="H600" s="84"/>
    </row>
    <row r="601">
      <c r="F601" s="64"/>
      <c r="G601" s="83"/>
      <c r="H601" s="84"/>
    </row>
    <row r="602">
      <c r="F602" s="64"/>
      <c r="G602" s="83"/>
      <c r="H602" s="84"/>
    </row>
    <row r="603">
      <c r="F603" s="64"/>
      <c r="G603" s="83"/>
      <c r="H603" s="84"/>
    </row>
    <row r="604">
      <c r="F604" s="64"/>
      <c r="G604" s="83"/>
      <c r="H604" s="84"/>
    </row>
    <row r="605">
      <c r="F605" s="64"/>
      <c r="G605" s="83"/>
      <c r="H605" s="84"/>
    </row>
    <row r="606">
      <c r="F606" s="64"/>
      <c r="G606" s="83"/>
      <c r="H606" s="84"/>
    </row>
    <row r="607">
      <c r="F607" s="64"/>
      <c r="G607" s="83"/>
      <c r="H607" s="84"/>
    </row>
    <row r="608">
      <c r="F608" s="64"/>
      <c r="G608" s="83"/>
      <c r="H608" s="84"/>
    </row>
    <row r="609">
      <c r="F609" s="64"/>
      <c r="G609" s="83"/>
      <c r="H609" s="84"/>
    </row>
    <row r="610">
      <c r="F610" s="64"/>
      <c r="G610" s="83"/>
      <c r="H610" s="84"/>
    </row>
    <row r="611">
      <c r="F611" s="64"/>
      <c r="G611" s="83"/>
      <c r="H611" s="84"/>
    </row>
    <row r="612">
      <c r="F612" s="64"/>
      <c r="G612" s="83"/>
      <c r="H612" s="84"/>
    </row>
    <row r="613">
      <c r="F613" s="64"/>
      <c r="G613" s="83"/>
      <c r="H613" s="84"/>
    </row>
    <row r="614">
      <c r="F614" s="64"/>
      <c r="G614" s="83"/>
      <c r="H614" s="84"/>
    </row>
    <row r="615">
      <c r="F615" s="64"/>
      <c r="G615" s="83"/>
      <c r="H615" s="84"/>
    </row>
    <row r="616">
      <c r="F616" s="64"/>
      <c r="G616" s="83"/>
      <c r="H616" s="84"/>
    </row>
    <row r="617">
      <c r="F617" s="64"/>
      <c r="G617" s="83"/>
      <c r="H617" s="84"/>
    </row>
    <row r="618">
      <c r="F618" s="64"/>
      <c r="G618" s="83"/>
      <c r="H618" s="84"/>
    </row>
    <row r="619">
      <c r="F619" s="64"/>
      <c r="G619" s="83"/>
      <c r="H619" s="84"/>
    </row>
    <row r="620">
      <c r="F620" s="64"/>
      <c r="G620" s="83"/>
      <c r="H620" s="84"/>
    </row>
    <row r="621">
      <c r="F621" s="64"/>
      <c r="G621" s="83"/>
      <c r="H621" s="84"/>
    </row>
    <row r="622">
      <c r="F622" s="64"/>
      <c r="G622" s="83"/>
      <c r="H622" s="84"/>
    </row>
    <row r="623">
      <c r="F623" s="64"/>
      <c r="G623" s="83"/>
      <c r="H623" s="84"/>
    </row>
    <row r="624">
      <c r="F624" s="64"/>
      <c r="G624" s="83"/>
      <c r="H624" s="84"/>
    </row>
    <row r="625">
      <c r="F625" s="64"/>
      <c r="G625" s="83"/>
      <c r="H625" s="84"/>
    </row>
    <row r="626">
      <c r="F626" s="64"/>
      <c r="G626" s="83"/>
      <c r="H626" s="84"/>
    </row>
    <row r="627">
      <c r="F627" s="64"/>
      <c r="G627" s="83"/>
      <c r="H627" s="84"/>
    </row>
    <row r="628">
      <c r="F628" s="64"/>
      <c r="G628" s="83"/>
      <c r="H628" s="84"/>
    </row>
    <row r="629">
      <c r="F629" s="64"/>
      <c r="G629" s="83"/>
      <c r="H629" s="84"/>
    </row>
    <row r="630">
      <c r="F630" s="64"/>
      <c r="G630" s="83"/>
      <c r="H630" s="84"/>
    </row>
    <row r="631">
      <c r="F631" s="64"/>
      <c r="G631" s="83"/>
      <c r="H631" s="84"/>
    </row>
    <row r="632">
      <c r="F632" s="64"/>
      <c r="G632" s="83"/>
      <c r="H632" s="84"/>
    </row>
    <row r="633">
      <c r="F633" s="64"/>
      <c r="G633" s="83"/>
      <c r="H633" s="84"/>
    </row>
    <row r="634">
      <c r="F634" s="64"/>
      <c r="G634" s="83"/>
      <c r="H634" s="84"/>
    </row>
    <row r="635">
      <c r="F635" s="64"/>
      <c r="G635" s="83"/>
      <c r="H635" s="84"/>
    </row>
    <row r="636">
      <c r="F636" s="64"/>
      <c r="G636" s="83"/>
      <c r="H636" s="84"/>
    </row>
    <row r="637">
      <c r="F637" s="64"/>
      <c r="G637" s="83"/>
      <c r="H637" s="84"/>
    </row>
    <row r="638">
      <c r="F638" s="64"/>
      <c r="G638" s="83"/>
      <c r="H638" s="84"/>
    </row>
    <row r="639">
      <c r="F639" s="64"/>
      <c r="G639" s="83"/>
      <c r="H639" s="84"/>
    </row>
    <row r="640">
      <c r="F640" s="64"/>
      <c r="G640" s="83"/>
      <c r="H640" s="84"/>
    </row>
    <row r="641">
      <c r="F641" s="64"/>
      <c r="G641" s="83"/>
      <c r="H641" s="84"/>
    </row>
    <row r="642">
      <c r="F642" s="64"/>
      <c r="G642" s="83"/>
      <c r="H642" s="84"/>
    </row>
    <row r="643">
      <c r="F643" s="64"/>
      <c r="G643" s="83"/>
      <c r="H643" s="84"/>
    </row>
    <row r="644">
      <c r="F644" s="64"/>
      <c r="G644" s="83"/>
      <c r="H644" s="84"/>
    </row>
    <row r="645">
      <c r="F645" s="64"/>
      <c r="G645" s="83"/>
      <c r="H645" s="84"/>
    </row>
    <row r="646">
      <c r="F646" s="64"/>
      <c r="G646" s="83"/>
      <c r="H646" s="84"/>
    </row>
    <row r="647">
      <c r="F647" s="64"/>
      <c r="G647" s="83"/>
      <c r="H647" s="84"/>
    </row>
    <row r="648">
      <c r="F648" s="64"/>
      <c r="G648" s="83"/>
      <c r="H648" s="84"/>
    </row>
    <row r="649">
      <c r="F649" s="64"/>
      <c r="G649" s="83"/>
      <c r="H649" s="84"/>
    </row>
    <row r="650">
      <c r="F650" s="64"/>
      <c r="G650" s="83"/>
      <c r="H650" s="84"/>
    </row>
    <row r="651">
      <c r="F651" s="64"/>
      <c r="G651" s="83"/>
      <c r="H651" s="84"/>
    </row>
    <row r="652">
      <c r="F652" s="64"/>
      <c r="G652" s="83"/>
      <c r="H652" s="84"/>
    </row>
    <row r="653">
      <c r="F653" s="64"/>
      <c r="G653" s="83"/>
      <c r="H653" s="84"/>
    </row>
    <row r="654">
      <c r="F654" s="64"/>
      <c r="G654" s="83"/>
      <c r="H654" s="84"/>
    </row>
    <row r="655">
      <c r="F655" s="64"/>
      <c r="G655" s="83"/>
      <c r="H655" s="84"/>
    </row>
    <row r="656">
      <c r="F656" s="64"/>
      <c r="G656" s="83"/>
      <c r="H656" s="84"/>
    </row>
    <row r="657">
      <c r="F657" s="64"/>
      <c r="G657" s="83"/>
      <c r="H657" s="84"/>
    </row>
    <row r="658">
      <c r="F658" s="64"/>
      <c r="G658" s="83"/>
      <c r="H658" s="84"/>
    </row>
    <row r="659">
      <c r="F659" s="64"/>
      <c r="G659" s="83"/>
      <c r="H659" s="84"/>
    </row>
    <row r="660">
      <c r="F660" s="64"/>
      <c r="G660" s="83"/>
      <c r="H660" s="84"/>
    </row>
    <row r="661">
      <c r="F661" s="64"/>
      <c r="G661" s="83"/>
      <c r="H661" s="84"/>
    </row>
    <row r="662">
      <c r="F662" s="64"/>
      <c r="G662" s="83"/>
      <c r="H662" s="84"/>
    </row>
    <row r="663">
      <c r="F663" s="64"/>
      <c r="G663" s="83"/>
      <c r="H663" s="84"/>
    </row>
    <row r="664">
      <c r="F664" s="64"/>
      <c r="G664" s="83"/>
      <c r="H664" s="84"/>
    </row>
    <row r="665">
      <c r="F665" s="64"/>
      <c r="G665" s="83"/>
      <c r="H665" s="84"/>
    </row>
    <row r="666">
      <c r="F666" s="64"/>
      <c r="G666" s="83"/>
      <c r="H666" s="84"/>
    </row>
    <row r="667">
      <c r="F667" s="64"/>
      <c r="G667" s="83"/>
      <c r="H667" s="84"/>
    </row>
    <row r="668">
      <c r="F668" s="64"/>
      <c r="G668" s="83"/>
      <c r="H668" s="84"/>
    </row>
    <row r="669">
      <c r="F669" s="64"/>
      <c r="G669" s="83"/>
      <c r="H669" s="84"/>
    </row>
    <row r="670">
      <c r="F670" s="64"/>
      <c r="G670" s="83"/>
      <c r="H670" s="84"/>
    </row>
    <row r="671">
      <c r="F671" s="64"/>
      <c r="G671" s="83"/>
      <c r="H671" s="84"/>
    </row>
    <row r="672">
      <c r="F672" s="64"/>
      <c r="G672" s="83"/>
      <c r="H672" s="84"/>
    </row>
    <row r="673">
      <c r="F673" s="64"/>
      <c r="G673" s="83"/>
      <c r="H673" s="84"/>
    </row>
    <row r="674">
      <c r="F674" s="64"/>
      <c r="G674" s="83"/>
      <c r="H674" s="84"/>
    </row>
    <row r="675">
      <c r="F675" s="64"/>
      <c r="G675" s="83"/>
      <c r="H675" s="84"/>
    </row>
    <row r="676">
      <c r="F676" s="64"/>
      <c r="G676" s="83"/>
      <c r="H676" s="84"/>
    </row>
    <row r="677">
      <c r="F677" s="64"/>
      <c r="G677" s="83"/>
      <c r="H677" s="84"/>
    </row>
    <row r="678">
      <c r="F678" s="64"/>
      <c r="G678" s="83"/>
      <c r="H678" s="84"/>
    </row>
    <row r="679">
      <c r="F679" s="64"/>
      <c r="G679" s="83"/>
      <c r="H679" s="84"/>
    </row>
    <row r="680">
      <c r="F680" s="64"/>
      <c r="G680" s="83"/>
      <c r="H680" s="84"/>
    </row>
    <row r="681">
      <c r="F681" s="64"/>
      <c r="G681" s="83"/>
      <c r="H681" s="84"/>
    </row>
    <row r="682">
      <c r="F682" s="64"/>
      <c r="G682" s="83"/>
      <c r="H682" s="84"/>
    </row>
    <row r="683">
      <c r="F683" s="64"/>
      <c r="G683" s="83"/>
      <c r="H683" s="84"/>
    </row>
    <row r="684">
      <c r="F684" s="64"/>
      <c r="G684" s="83"/>
      <c r="H684" s="84"/>
    </row>
    <row r="685">
      <c r="F685" s="64"/>
      <c r="G685" s="83"/>
      <c r="H685" s="84"/>
    </row>
    <row r="686">
      <c r="F686" s="64"/>
      <c r="G686" s="83"/>
      <c r="H686" s="84"/>
    </row>
    <row r="687">
      <c r="F687" s="64"/>
      <c r="G687" s="83"/>
      <c r="H687" s="84"/>
    </row>
    <row r="688">
      <c r="F688" s="64"/>
      <c r="G688" s="83"/>
      <c r="H688" s="84"/>
    </row>
    <row r="689">
      <c r="F689" s="64"/>
      <c r="G689" s="83"/>
      <c r="H689" s="84"/>
    </row>
    <row r="690">
      <c r="F690" s="64"/>
      <c r="G690" s="83"/>
      <c r="H690" s="84"/>
    </row>
    <row r="691">
      <c r="F691" s="64"/>
      <c r="G691" s="83"/>
      <c r="H691" s="84"/>
    </row>
    <row r="692">
      <c r="F692" s="64"/>
      <c r="G692" s="83"/>
      <c r="H692" s="84"/>
    </row>
    <row r="693">
      <c r="F693" s="64"/>
      <c r="G693" s="83"/>
      <c r="H693" s="84"/>
    </row>
    <row r="694">
      <c r="F694" s="64"/>
      <c r="G694" s="83"/>
      <c r="H694" s="84"/>
    </row>
    <row r="695">
      <c r="F695" s="64"/>
      <c r="G695" s="83"/>
      <c r="H695" s="84"/>
    </row>
    <row r="696">
      <c r="F696" s="64"/>
      <c r="G696" s="83"/>
      <c r="H696" s="84"/>
    </row>
    <row r="697">
      <c r="F697" s="64"/>
      <c r="G697" s="83"/>
      <c r="H697" s="84"/>
    </row>
    <row r="698">
      <c r="F698" s="64"/>
      <c r="G698" s="83"/>
      <c r="H698" s="84"/>
    </row>
    <row r="699">
      <c r="F699" s="64"/>
      <c r="G699" s="83"/>
      <c r="H699" s="84"/>
    </row>
    <row r="700">
      <c r="F700" s="64"/>
      <c r="G700" s="83"/>
      <c r="H700" s="84"/>
    </row>
    <row r="701">
      <c r="F701" s="64"/>
      <c r="G701" s="83"/>
      <c r="H701" s="84"/>
    </row>
    <row r="702">
      <c r="F702" s="64"/>
      <c r="G702" s="83"/>
      <c r="H702" s="84"/>
    </row>
    <row r="703">
      <c r="F703" s="64"/>
      <c r="G703" s="83"/>
      <c r="H703" s="84"/>
    </row>
    <row r="704">
      <c r="F704" s="64"/>
      <c r="G704" s="83"/>
      <c r="H704" s="84"/>
    </row>
    <row r="705">
      <c r="F705" s="64"/>
      <c r="G705" s="83"/>
      <c r="H705" s="84"/>
    </row>
    <row r="706">
      <c r="F706" s="64"/>
      <c r="G706" s="83"/>
      <c r="H706" s="84"/>
    </row>
    <row r="707">
      <c r="F707" s="64"/>
      <c r="G707" s="83"/>
      <c r="H707" s="84"/>
    </row>
    <row r="708">
      <c r="F708" s="64"/>
      <c r="G708" s="83"/>
      <c r="H708" s="84"/>
    </row>
    <row r="709">
      <c r="F709" s="64"/>
      <c r="G709" s="83"/>
      <c r="H709" s="84"/>
    </row>
    <row r="710">
      <c r="F710" s="64"/>
      <c r="G710" s="83"/>
      <c r="H710" s="84"/>
    </row>
    <row r="711">
      <c r="F711" s="64"/>
      <c r="G711" s="83"/>
      <c r="H711" s="84"/>
    </row>
    <row r="712">
      <c r="F712" s="64"/>
      <c r="G712" s="83"/>
      <c r="H712" s="84"/>
    </row>
    <row r="713">
      <c r="F713" s="64"/>
      <c r="G713" s="83"/>
      <c r="H713" s="84"/>
    </row>
    <row r="714">
      <c r="F714" s="64"/>
      <c r="G714" s="83"/>
      <c r="H714" s="84"/>
    </row>
    <row r="715">
      <c r="F715" s="64"/>
      <c r="G715" s="83"/>
      <c r="H715" s="84"/>
    </row>
    <row r="716">
      <c r="F716" s="64"/>
      <c r="G716" s="83"/>
      <c r="H716" s="84"/>
    </row>
    <row r="717">
      <c r="F717" s="64"/>
      <c r="G717" s="83"/>
      <c r="H717" s="84"/>
    </row>
    <row r="718">
      <c r="F718" s="64"/>
      <c r="G718" s="83"/>
      <c r="H718" s="84"/>
    </row>
    <row r="719">
      <c r="F719" s="64"/>
      <c r="G719" s="83"/>
      <c r="H719" s="84"/>
    </row>
    <row r="720">
      <c r="F720" s="64"/>
      <c r="G720" s="83"/>
      <c r="H720" s="84"/>
    </row>
    <row r="721">
      <c r="F721" s="64"/>
      <c r="G721" s="83"/>
      <c r="H721" s="84"/>
    </row>
    <row r="722">
      <c r="F722" s="64"/>
      <c r="G722" s="83"/>
      <c r="H722" s="84"/>
    </row>
    <row r="723">
      <c r="F723" s="64"/>
      <c r="G723" s="83"/>
      <c r="H723" s="84"/>
    </row>
    <row r="724">
      <c r="F724" s="64"/>
      <c r="G724" s="83"/>
      <c r="H724" s="84"/>
    </row>
    <row r="725">
      <c r="F725" s="64"/>
      <c r="G725" s="83"/>
      <c r="H725" s="84"/>
    </row>
    <row r="726">
      <c r="F726" s="64"/>
      <c r="G726" s="83"/>
      <c r="H726" s="84"/>
    </row>
    <row r="727">
      <c r="F727" s="64"/>
      <c r="G727" s="83"/>
      <c r="H727" s="84"/>
    </row>
    <row r="728">
      <c r="F728" s="64"/>
      <c r="G728" s="83"/>
      <c r="H728" s="84"/>
    </row>
    <row r="729">
      <c r="F729" s="64"/>
      <c r="G729" s="83"/>
      <c r="H729" s="84"/>
    </row>
    <row r="730">
      <c r="F730" s="64"/>
      <c r="G730" s="83"/>
      <c r="H730" s="84"/>
    </row>
    <row r="731">
      <c r="F731" s="64"/>
      <c r="G731" s="83"/>
      <c r="H731" s="84"/>
    </row>
    <row r="732">
      <c r="F732" s="64"/>
      <c r="G732" s="83"/>
      <c r="H732" s="84"/>
    </row>
    <row r="733">
      <c r="F733" s="64"/>
      <c r="G733" s="83"/>
      <c r="H733" s="84"/>
    </row>
    <row r="734">
      <c r="F734" s="64"/>
      <c r="G734" s="83"/>
      <c r="H734" s="84"/>
    </row>
    <row r="735">
      <c r="F735" s="64"/>
      <c r="G735" s="83"/>
      <c r="H735" s="84"/>
    </row>
    <row r="736">
      <c r="F736" s="64"/>
      <c r="G736" s="83"/>
      <c r="H736" s="84"/>
    </row>
    <row r="737">
      <c r="F737" s="64"/>
      <c r="G737" s="83"/>
      <c r="H737" s="84"/>
    </row>
    <row r="738">
      <c r="F738" s="64"/>
      <c r="G738" s="83"/>
      <c r="H738" s="84"/>
    </row>
    <row r="739">
      <c r="F739" s="64"/>
      <c r="G739" s="83"/>
      <c r="H739" s="84"/>
    </row>
    <row r="740">
      <c r="F740" s="64"/>
      <c r="G740" s="83"/>
      <c r="H740" s="84"/>
    </row>
    <row r="741">
      <c r="F741" s="64"/>
      <c r="G741" s="83"/>
      <c r="H741" s="84"/>
    </row>
    <row r="742">
      <c r="F742" s="64"/>
      <c r="G742" s="83"/>
      <c r="H742" s="84"/>
    </row>
    <row r="743">
      <c r="F743" s="64"/>
      <c r="G743" s="83"/>
      <c r="H743" s="84"/>
    </row>
    <row r="744">
      <c r="F744" s="64"/>
      <c r="G744" s="83"/>
      <c r="H744" s="84"/>
    </row>
    <row r="745">
      <c r="F745" s="64"/>
      <c r="G745" s="83"/>
      <c r="H745" s="84"/>
    </row>
    <row r="746">
      <c r="F746" s="64"/>
      <c r="G746" s="83"/>
      <c r="H746" s="84"/>
    </row>
    <row r="747">
      <c r="F747" s="64"/>
      <c r="G747" s="83"/>
      <c r="H747" s="84"/>
    </row>
    <row r="748">
      <c r="F748" s="64"/>
      <c r="G748" s="83"/>
      <c r="H748" s="84"/>
    </row>
    <row r="749">
      <c r="F749" s="64"/>
      <c r="G749" s="83"/>
      <c r="H749" s="84"/>
    </row>
    <row r="750">
      <c r="F750" s="64"/>
      <c r="G750" s="83"/>
      <c r="H750" s="84"/>
    </row>
    <row r="751">
      <c r="F751" s="64"/>
      <c r="G751" s="83"/>
      <c r="H751" s="84"/>
    </row>
    <row r="752">
      <c r="F752" s="64"/>
      <c r="G752" s="83"/>
      <c r="H752" s="84"/>
    </row>
    <row r="753">
      <c r="F753" s="64"/>
      <c r="G753" s="83"/>
      <c r="H753" s="84"/>
    </row>
    <row r="754">
      <c r="F754" s="64"/>
      <c r="G754" s="83"/>
      <c r="H754" s="84"/>
    </row>
    <row r="755">
      <c r="F755" s="64"/>
      <c r="G755" s="83"/>
      <c r="H755" s="84"/>
    </row>
    <row r="756">
      <c r="F756" s="64"/>
      <c r="G756" s="83"/>
      <c r="H756" s="84"/>
    </row>
    <row r="757">
      <c r="F757" s="64"/>
      <c r="G757" s="83"/>
      <c r="H757" s="84"/>
    </row>
    <row r="758">
      <c r="F758" s="64"/>
      <c r="G758" s="83"/>
      <c r="H758" s="84"/>
    </row>
    <row r="759">
      <c r="F759" s="64"/>
      <c r="G759" s="83"/>
      <c r="H759" s="84"/>
    </row>
    <row r="760">
      <c r="F760" s="64"/>
      <c r="G760" s="83"/>
      <c r="H760" s="84"/>
    </row>
    <row r="761">
      <c r="F761" s="64"/>
      <c r="G761" s="83"/>
      <c r="H761" s="84"/>
    </row>
    <row r="762">
      <c r="F762" s="64"/>
      <c r="G762" s="83"/>
      <c r="H762" s="84"/>
    </row>
    <row r="763">
      <c r="F763" s="64"/>
      <c r="G763" s="83"/>
      <c r="H763" s="84"/>
    </row>
    <row r="764">
      <c r="F764" s="64"/>
      <c r="G764" s="83"/>
      <c r="H764" s="84"/>
    </row>
    <row r="765">
      <c r="F765" s="64"/>
      <c r="G765" s="83"/>
      <c r="H765" s="84"/>
    </row>
    <row r="766">
      <c r="F766" s="64"/>
      <c r="G766" s="83"/>
      <c r="H766" s="84"/>
    </row>
    <row r="767">
      <c r="F767" s="64"/>
      <c r="G767" s="83"/>
      <c r="H767" s="84"/>
    </row>
    <row r="768">
      <c r="F768" s="64"/>
      <c r="G768" s="83"/>
      <c r="H768" s="84"/>
    </row>
    <row r="769">
      <c r="F769" s="64"/>
      <c r="G769" s="83"/>
      <c r="H769" s="84"/>
    </row>
    <row r="770">
      <c r="F770" s="64"/>
      <c r="G770" s="83"/>
      <c r="H770" s="84"/>
    </row>
    <row r="771">
      <c r="F771" s="64"/>
      <c r="G771" s="83"/>
      <c r="H771" s="84"/>
    </row>
    <row r="772">
      <c r="F772" s="64"/>
      <c r="G772" s="83"/>
      <c r="H772" s="84"/>
    </row>
    <row r="773">
      <c r="F773" s="64"/>
      <c r="G773" s="83"/>
      <c r="H773" s="84"/>
    </row>
    <row r="774">
      <c r="F774" s="64"/>
      <c r="G774" s="83"/>
      <c r="H774" s="84"/>
    </row>
    <row r="775">
      <c r="F775" s="64"/>
      <c r="G775" s="83"/>
      <c r="H775" s="84"/>
    </row>
    <row r="776">
      <c r="F776" s="64"/>
      <c r="G776" s="83"/>
      <c r="H776" s="84"/>
    </row>
    <row r="777">
      <c r="F777" s="64"/>
      <c r="G777" s="83"/>
      <c r="H777" s="84"/>
    </row>
    <row r="778">
      <c r="F778" s="64"/>
      <c r="G778" s="83"/>
      <c r="H778" s="84"/>
    </row>
    <row r="779">
      <c r="F779" s="64"/>
      <c r="G779" s="83"/>
      <c r="H779" s="84"/>
    </row>
    <row r="780">
      <c r="F780" s="64"/>
      <c r="G780" s="83"/>
      <c r="H780" s="84"/>
    </row>
    <row r="781">
      <c r="F781" s="64"/>
      <c r="G781" s="83"/>
      <c r="H781" s="84"/>
    </row>
    <row r="782">
      <c r="F782" s="64"/>
      <c r="G782" s="83"/>
      <c r="H782" s="84"/>
    </row>
    <row r="783">
      <c r="F783" s="64"/>
      <c r="G783" s="83"/>
      <c r="H783" s="84"/>
    </row>
    <row r="784">
      <c r="F784" s="64"/>
      <c r="G784" s="83"/>
      <c r="H784" s="84"/>
    </row>
    <row r="785">
      <c r="F785" s="64"/>
      <c r="G785" s="83"/>
      <c r="H785" s="84"/>
    </row>
    <row r="786">
      <c r="F786" s="64"/>
      <c r="G786" s="83"/>
      <c r="H786" s="84"/>
    </row>
    <row r="787">
      <c r="F787" s="64"/>
      <c r="G787" s="83"/>
      <c r="H787" s="84"/>
    </row>
    <row r="788">
      <c r="F788" s="64"/>
      <c r="G788" s="83"/>
      <c r="H788" s="84"/>
    </row>
    <row r="789">
      <c r="F789" s="64"/>
      <c r="G789" s="83"/>
      <c r="H789" s="84"/>
    </row>
    <row r="790">
      <c r="F790" s="64"/>
      <c r="G790" s="83"/>
      <c r="H790" s="84"/>
    </row>
    <row r="791">
      <c r="F791" s="64"/>
      <c r="G791" s="83"/>
      <c r="H791" s="84"/>
    </row>
    <row r="792">
      <c r="F792" s="64"/>
      <c r="G792" s="83"/>
      <c r="H792" s="84"/>
    </row>
    <row r="793">
      <c r="F793" s="64"/>
      <c r="G793" s="83"/>
      <c r="H793" s="84"/>
    </row>
    <row r="794">
      <c r="F794" s="64"/>
      <c r="G794" s="83"/>
      <c r="H794" s="84"/>
    </row>
    <row r="795">
      <c r="F795" s="64"/>
      <c r="G795" s="83"/>
      <c r="H795" s="84"/>
    </row>
    <row r="796">
      <c r="F796" s="64"/>
      <c r="G796" s="83"/>
      <c r="H796" s="84"/>
    </row>
    <row r="797">
      <c r="F797" s="64"/>
      <c r="G797" s="83"/>
      <c r="H797" s="84"/>
    </row>
    <row r="798">
      <c r="F798" s="64"/>
      <c r="G798" s="83"/>
      <c r="H798" s="84"/>
    </row>
    <row r="799">
      <c r="F799" s="64"/>
      <c r="G799" s="83"/>
      <c r="H799" s="84"/>
    </row>
    <row r="800">
      <c r="F800" s="64"/>
      <c r="G800" s="83"/>
      <c r="H800" s="84"/>
    </row>
    <row r="801">
      <c r="F801" s="64"/>
      <c r="G801" s="83"/>
      <c r="H801" s="84"/>
    </row>
    <row r="802">
      <c r="F802" s="64"/>
      <c r="G802" s="83"/>
      <c r="H802" s="84"/>
    </row>
    <row r="803">
      <c r="F803" s="64"/>
      <c r="G803" s="83"/>
      <c r="H803" s="84"/>
    </row>
    <row r="804">
      <c r="F804" s="64"/>
      <c r="G804" s="83"/>
      <c r="H804" s="84"/>
    </row>
    <row r="805">
      <c r="F805" s="64"/>
      <c r="G805" s="83"/>
      <c r="H805" s="84"/>
    </row>
    <row r="806">
      <c r="F806" s="64"/>
      <c r="G806" s="83"/>
      <c r="H806" s="84"/>
    </row>
    <row r="807">
      <c r="F807" s="64"/>
      <c r="G807" s="83"/>
      <c r="H807" s="84"/>
    </row>
    <row r="808">
      <c r="F808" s="64"/>
      <c r="G808" s="83"/>
      <c r="H808" s="84"/>
    </row>
    <row r="809">
      <c r="F809" s="64"/>
      <c r="G809" s="83"/>
      <c r="H809" s="84"/>
    </row>
    <row r="810">
      <c r="F810" s="64"/>
      <c r="G810" s="83"/>
      <c r="H810" s="84"/>
    </row>
    <row r="811">
      <c r="F811" s="64"/>
      <c r="G811" s="83"/>
      <c r="H811" s="84"/>
    </row>
    <row r="812">
      <c r="F812" s="64"/>
      <c r="G812" s="83"/>
      <c r="H812" s="84"/>
    </row>
    <row r="813">
      <c r="F813" s="64"/>
      <c r="G813" s="83"/>
      <c r="H813" s="84"/>
    </row>
    <row r="814">
      <c r="F814" s="64"/>
      <c r="G814" s="83"/>
      <c r="H814" s="84"/>
    </row>
    <row r="815">
      <c r="F815" s="64"/>
      <c r="G815" s="83"/>
      <c r="H815" s="84"/>
    </row>
    <row r="816">
      <c r="F816" s="64"/>
      <c r="G816" s="83"/>
      <c r="H816" s="84"/>
    </row>
    <row r="817">
      <c r="F817" s="64"/>
      <c r="G817" s="83"/>
      <c r="H817" s="84"/>
    </row>
    <row r="818">
      <c r="F818" s="64"/>
      <c r="G818" s="83"/>
      <c r="H818" s="84"/>
    </row>
    <row r="819">
      <c r="F819" s="64"/>
      <c r="G819" s="83"/>
      <c r="H819" s="84"/>
    </row>
    <row r="820">
      <c r="F820" s="64"/>
      <c r="G820" s="83"/>
      <c r="H820" s="84"/>
    </row>
    <row r="821">
      <c r="F821" s="64"/>
      <c r="G821" s="83"/>
      <c r="H821" s="84"/>
    </row>
    <row r="822">
      <c r="F822" s="64"/>
      <c r="G822" s="83"/>
      <c r="H822" s="84"/>
    </row>
    <row r="823">
      <c r="F823" s="64"/>
      <c r="G823" s="83"/>
      <c r="H823" s="84"/>
    </row>
    <row r="824">
      <c r="F824" s="64"/>
      <c r="G824" s="83"/>
      <c r="H824" s="84"/>
    </row>
    <row r="825">
      <c r="F825" s="64"/>
      <c r="G825" s="83"/>
      <c r="H825" s="84"/>
    </row>
    <row r="826">
      <c r="F826" s="64"/>
      <c r="G826" s="83"/>
      <c r="H826" s="84"/>
    </row>
    <row r="827">
      <c r="F827" s="64"/>
      <c r="G827" s="83"/>
      <c r="H827" s="84"/>
    </row>
    <row r="828">
      <c r="F828" s="64"/>
      <c r="G828" s="83"/>
      <c r="H828" s="84"/>
    </row>
    <row r="829">
      <c r="F829" s="64"/>
      <c r="G829" s="83"/>
      <c r="H829" s="84"/>
    </row>
    <row r="830">
      <c r="F830" s="64"/>
      <c r="G830" s="83"/>
      <c r="H830" s="84"/>
    </row>
    <row r="831">
      <c r="F831" s="64"/>
      <c r="G831" s="83"/>
      <c r="H831" s="84"/>
    </row>
    <row r="832">
      <c r="F832" s="64"/>
      <c r="G832" s="83"/>
      <c r="H832" s="84"/>
    </row>
    <row r="833">
      <c r="F833" s="64"/>
      <c r="G833" s="83"/>
      <c r="H833" s="84"/>
    </row>
    <row r="834">
      <c r="F834" s="64"/>
      <c r="G834" s="83"/>
      <c r="H834" s="84"/>
    </row>
    <row r="835">
      <c r="F835" s="64"/>
      <c r="G835" s="83"/>
      <c r="H835" s="84"/>
    </row>
    <row r="836">
      <c r="F836" s="64"/>
      <c r="G836" s="83"/>
      <c r="H836" s="84"/>
    </row>
    <row r="837">
      <c r="F837" s="64"/>
      <c r="G837" s="83"/>
      <c r="H837" s="84"/>
    </row>
    <row r="838">
      <c r="F838" s="64"/>
      <c r="G838" s="83"/>
      <c r="H838" s="84"/>
    </row>
    <row r="839">
      <c r="F839" s="64"/>
      <c r="G839" s="83"/>
      <c r="H839" s="84"/>
    </row>
    <row r="840">
      <c r="F840" s="64"/>
      <c r="G840" s="83"/>
      <c r="H840" s="84"/>
    </row>
    <row r="841">
      <c r="F841" s="64"/>
      <c r="G841" s="83"/>
      <c r="H841" s="84"/>
    </row>
    <row r="842">
      <c r="F842" s="64"/>
      <c r="G842" s="83"/>
      <c r="H842" s="84"/>
    </row>
    <row r="843">
      <c r="F843" s="64"/>
      <c r="G843" s="83"/>
      <c r="H843" s="84"/>
    </row>
    <row r="844">
      <c r="F844" s="64"/>
      <c r="G844" s="83"/>
      <c r="H844" s="84"/>
    </row>
    <row r="845">
      <c r="F845" s="64"/>
      <c r="G845" s="83"/>
      <c r="H845" s="84"/>
    </row>
    <row r="846">
      <c r="F846" s="64"/>
      <c r="G846" s="83"/>
      <c r="H846" s="84"/>
    </row>
    <row r="847">
      <c r="F847" s="64"/>
      <c r="G847" s="83"/>
      <c r="H847" s="84"/>
    </row>
    <row r="848">
      <c r="F848" s="64"/>
      <c r="G848" s="83"/>
      <c r="H848" s="84"/>
    </row>
    <row r="849">
      <c r="F849" s="64"/>
      <c r="G849" s="83"/>
      <c r="H849" s="84"/>
    </row>
    <row r="850">
      <c r="F850" s="64"/>
      <c r="G850" s="83"/>
      <c r="H850" s="84"/>
    </row>
    <row r="851">
      <c r="F851" s="64"/>
      <c r="G851" s="83"/>
      <c r="H851" s="84"/>
    </row>
    <row r="852">
      <c r="F852" s="64"/>
      <c r="G852" s="83"/>
      <c r="H852" s="84"/>
    </row>
    <row r="853">
      <c r="F853" s="64"/>
      <c r="G853" s="83"/>
      <c r="H853" s="84"/>
    </row>
    <row r="854">
      <c r="F854" s="64"/>
      <c r="G854" s="83"/>
      <c r="H854" s="84"/>
    </row>
    <row r="855">
      <c r="F855" s="64"/>
      <c r="G855" s="83"/>
      <c r="H855" s="84"/>
    </row>
    <row r="856">
      <c r="F856" s="64"/>
      <c r="G856" s="83"/>
      <c r="H856" s="84"/>
    </row>
    <row r="857">
      <c r="F857" s="64"/>
      <c r="G857" s="83"/>
      <c r="H857" s="84"/>
    </row>
    <row r="858">
      <c r="F858" s="64"/>
      <c r="G858" s="83"/>
      <c r="H858" s="84"/>
    </row>
    <row r="859">
      <c r="F859" s="64"/>
      <c r="G859" s="83"/>
      <c r="H859" s="84"/>
    </row>
    <row r="860">
      <c r="F860" s="64"/>
      <c r="G860" s="83"/>
      <c r="H860" s="84"/>
    </row>
    <row r="861">
      <c r="F861" s="64"/>
      <c r="G861" s="83"/>
      <c r="H861" s="84"/>
    </row>
    <row r="862">
      <c r="F862" s="64"/>
      <c r="G862" s="83"/>
      <c r="H862" s="84"/>
    </row>
    <row r="863">
      <c r="F863" s="64"/>
      <c r="G863" s="83"/>
      <c r="H863" s="84"/>
    </row>
    <row r="864">
      <c r="F864" s="64"/>
      <c r="G864" s="83"/>
      <c r="H864" s="84"/>
    </row>
    <row r="865">
      <c r="F865" s="64"/>
      <c r="G865" s="83"/>
      <c r="H865" s="84"/>
    </row>
    <row r="866">
      <c r="F866" s="64"/>
      <c r="G866" s="83"/>
      <c r="H866" s="84"/>
    </row>
    <row r="867">
      <c r="F867" s="64"/>
      <c r="G867" s="83"/>
      <c r="H867" s="84"/>
    </row>
    <row r="868">
      <c r="F868" s="64"/>
      <c r="G868" s="83"/>
      <c r="H868" s="84"/>
    </row>
    <row r="869">
      <c r="F869" s="64"/>
      <c r="G869" s="83"/>
      <c r="H869" s="84"/>
    </row>
    <row r="870">
      <c r="F870" s="64"/>
      <c r="G870" s="83"/>
      <c r="H870" s="84"/>
    </row>
    <row r="871">
      <c r="F871" s="64"/>
      <c r="G871" s="83"/>
      <c r="H871" s="84"/>
    </row>
    <row r="872">
      <c r="F872" s="64"/>
      <c r="G872" s="83"/>
      <c r="H872" s="84"/>
    </row>
    <row r="873">
      <c r="F873" s="64"/>
      <c r="G873" s="83"/>
      <c r="H873" s="84"/>
    </row>
    <row r="874">
      <c r="F874" s="64"/>
      <c r="G874" s="83"/>
      <c r="H874" s="84"/>
    </row>
    <row r="875">
      <c r="F875" s="64"/>
      <c r="G875" s="83"/>
      <c r="H875" s="84"/>
    </row>
    <row r="876">
      <c r="F876" s="64"/>
      <c r="G876" s="83"/>
      <c r="H876" s="84"/>
    </row>
    <row r="877">
      <c r="F877" s="64"/>
      <c r="G877" s="83"/>
      <c r="H877" s="84"/>
    </row>
    <row r="878">
      <c r="F878" s="64"/>
      <c r="G878" s="83"/>
      <c r="H878" s="84"/>
    </row>
    <row r="879">
      <c r="F879" s="64"/>
      <c r="G879" s="83"/>
      <c r="H879" s="84"/>
    </row>
    <row r="880">
      <c r="F880" s="64"/>
      <c r="G880" s="83"/>
      <c r="H880" s="84"/>
    </row>
    <row r="881">
      <c r="F881" s="64"/>
      <c r="G881" s="83"/>
      <c r="H881" s="84"/>
    </row>
    <row r="882">
      <c r="F882" s="64"/>
      <c r="G882" s="83"/>
      <c r="H882" s="84"/>
    </row>
    <row r="883">
      <c r="F883" s="64"/>
      <c r="G883" s="83"/>
      <c r="H883" s="84"/>
    </row>
    <row r="884">
      <c r="F884" s="64"/>
      <c r="G884" s="83"/>
      <c r="H884" s="84"/>
    </row>
    <row r="885">
      <c r="F885" s="64"/>
      <c r="G885" s="83"/>
      <c r="H885" s="84"/>
    </row>
    <row r="886">
      <c r="F886" s="64"/>
      <c r="G886" s="83"/>
      <c r="H886" s="84"/>
    </row>
    <row r="887">
      <c r="F887" s="64"/>
      <c r="G887" s="83"/>
      <c r="H887" s="84"/>
    </row>
    <row r="888">
      <c r="F888" s="64"/>
      <c r="G888" s="83"/>
      <c r="H888" s="84"/>
    </row>
    <row r="889">
      <c r="F889" s="64"/>
      <c r="G889" s="83"/>
      <c r="H889" s="84"/>
    </row>
    <row r="890">
      <c r="F890" s="64"/>
      <c r="G890" s="83"/>
      <c r="H890" s="84"/>
    </row>
    <row r="891">
      <c r="F891" s="64"/>
      <c r="G891" s="83"/>
      <c r="H891" s="84"/>
    </row>
    <row r="892">
      <c r="F892" s="64"/>
      <c r="G892" s="83"/>
      <c r="H892" s="84"/>
    </row>
    <row r="893">
      <c r="F893" s="64"/>
      <c r="G893" s="83"/>
      <c r="H893" s="84"/>
    </row>
    <row r="894">
      <c r="F894" s="64"/>
      <c r="G894" s="83"/>
      <c r="H894" s="84"/>
    </row>
    <row r="895">
      <c r="F895" s="64"/>
      <c r="G895" s="83"/>
      <c r="H895" s="84"/>
    </row>
    <row r="896">
      <c r="F896" s="64"/>
      <c r="G896" s="83"/>
      <c r="H896" s="84"/>
    </row>
    <row r="897">
      <c r="F897" s="64"/>
      <c r="G897" s="83"/>
      <c r="H897" s="84"/>
    </row>
    <row r="898">
      <c r="F898" s="64"/>
      <c r="G898" s="83"/>
      <c r="H898" s="84"/>
    </row>
    <row r="899">
      <c r="F899" s="64"/>
      <c r="G899" s="83"/>
      <c r="H899" s="84"/>
    </row>
    <row r="900">
      <c r="F900" s="64"/>
      <c r="G900" s="83"/>
      <c r="H900" s="84"/>
    </row>
    <row r="901">
      <c r="F901" s="64"/>
      <c r="G901" s="83"/>
      <c r="H901" s="84"/>
    </row>
    <row r="902">
      <c r="F902" s="64"/>
      <c r="G902" s="83"/>
      <c r="H902" s="84"/>
    </row>
    <row r="903">
      <c r="F903" s="64"/>
      <c r="G903" s="83"/>
      <c r="H903" s="84"/>
    </row>
    <row r="904">
      <c r="F904" s="64"/>
      <c r="G904" s="83"/>
      <c r="H904" s="84"/>
    </row>
    <row r="905">
      <c r="F905" s="64"/>
      <c r="G905" s="83"/>
      <c r="H905" s="84"/>
    </row>
    <row r="906">
      <c r="F906" s="64"/>
      <c r="G906" s="83"/>
      <c r="H906" s="84"/>
    </row>
    <row r="907">
      <c r="F907" s="64"/>
      <c r="G907" s="83"/>
      <c r="H907" s="84"/>
    </row>
    <row r="908">
      <c r="F908" s="64"/>
      <c r="G908" s="83"/>
      <c r="H908" s="84"/>
    </row>
    <row r="909">
      <c r="F909" s="64"/>
      <c r="G909" s="83"/>
      <c r="H909" s="84"/>
    </row>
    <row r="910">
      <c r="F910" s="64"/>
      <c r="G910" s="83"/>
      <c r="H910" s="84"/>
    </row>
    <row r="911">
      <c r="F911" s="64"/>
      <c r="G911" s="83"/>
      <c r="H911" s="84"/>
    </row>
    <row r="912">
      <c r="F912" s="64"/>
      <c r="G912" s="83"/>
      <c r="H912" s="84"/>
    </row>
    <row r="913">
      <c r="F913" s="64"/>
      <c r="G913" s="83"/>
      <c r="H913" s="84"/>
    </row>
    <row r="914">
      <c r="F914" s="64"/>
      <c r="G914" s="83"/>
      <c r="H914" s="84"/>
    </row>
    <row r="915">
      <c r="F915" s="64"/>
      <c r="G915" s="83"/>
      <c r="H915" s="84"/>
    </row>
    <row r="916">
      <c r="F916" s="64"/>
      <c r="G916" s="83"/>
      <c r="H916" s="84"/>
    </row>
    <row r="917">
      <c r="F917" s="64"/>
      <c r="G917" s="83"/>
      <c r="H917" s="84"/>
    </row>
    <row r="918">
      <c r="F918" s="64"/>
      <c r="G918" s="83"/>
      <c r="H918" s="84"/>
    </row>
    <row r="919">
      <c r="F919" s="64"/>
      <c r="G919" s="83"/>
      <c r="H919" s="84"/>
    </row>
    <row r="920">
      <c r="F920" s="64"/>
      <c r="G920" s="83"/>
      <c r="H920" s="84"/>
    </row>
    <row r="921">
      <c r="F921" s="64"/>
      <c r="G921" s="83"/>
      <c r="H921" s="84"/>
    </row>
    <row r="922">
      <c r="F922" s="64"/>
      <c r="G922" s="83"/>
      <c r="H922" s="84"/>
    </row>
    <row r="923">
      <c r="F923" s="64"/>
      <c r="G923" s="83"/>
      <c r="H923" s="84"/>
    </row>
    <row r="924">
      <c r="F924" s="64"/>
      <c r="G924" s="83"/>
      <c r="H924" s="84"/>
    </row>
    <row r="925">
      <c r="F925" s="64"/>
      <c r="G925" s="83"/>
      <c r="H925" s="84"/>
    </row>
    <row r="926">
      <c r="F926" s="64"/>
      <c r="G926" s="83"/>
      <c r="H926" s="84"/>
    </row>
    <row r="927">
      <c r="F927" s="64"/>
      <c r="G927" s="83"/>
      <c r="H927" s="84"/>
    </row>
    <row r="928">
      <c r="F928" s="64"/>
      <c r="G928" s="83"/>
      <c r="H928" s="84"/>
    </row>
    <row r="929">
      <c r="F929" s="64"/>
      <c r="G929" s="83"/>
      <c r="H929" s="84"/>
    </row>
    <row r="930">
      <c r="F930" s="64"/>
      <c r="G930" s="83"/>
      <c r="H930" s="84"/>
    </row>
    <row r="931">
      <c r="F931" s="64"/>
      <c r="G931" s="83"/>
      <c r="H931" s="84"/>
    </row>
    <row r="932">
      <c r="F932" s="64"/>
      <c r="G932" s="83"/>
      <c r="H932" s="84"/>
    </row>
    <row r="933">
      <c r="F933" s="64"/>
      <c r="G933" s="83"/>
      <c r="H933" s="84"/>
    </row>
    <row r="934">
      <c r="F934" s="64"/>
      <c r="G934" s="83"/>
      <c r="H934" s="84"/>
    </row>
    <row r="935">
      <c r="F935" s="64"/>
      <c r="G935" s="83"/>
      <c r="H935" s="84"/>
    </row>
    <row r="936">
      <c r="F936" s="64"/>
      <c r="G936" s="83"/>
      <c r="H936" s="84"/>
    </row>
    <row r="937">
      <c r="F937" s="64"/>
      <c r="G937" s="83"/>
      <c r="H937" s="84"/>
    </row>
    <row r="938">
      <c r="F938" s="64"/>
      <c r="G938" s="83"/>
      <c r="H938" s="84"/>
    </row>
    <row r="939">
      <c r="F939" s="64"/>
      <c r="G939" s="83"/>
      <c r="H939" s="84"/>
    </row>
    <row r="940">
      <c r="F940" s="64"/>
      <c r="G940" s="83"/>
      <c r="H940" s="84"/>
    </row>
    <row r="941">
      <c r="F941" s="64"/>
      <c r="G941" s="83"/>
      <c r="H941" s="84"/>
    </row>
    <row r="942">
      <c r="F942" s="64"/>
      <c r="G942" s="83"/>
      <c r="H942" s="84"/>
    </row>
    <row r="943">
      <c r="F943" s="64"/>
      <c r="G943" s="83"/>
      <c r="H943" s="84"/>
    </row>
    <row r="944">
      <c r="F944" s="64"/>
      <c r="G944" s="83"/>
      <c r="H944" s="84"/>
    </row>
    <row r="945">
      <c r="F945" s="64"/>
      <c r="G945" s="83"/>
      <c r="H945" s="84"/>
    </row>
    <row r="946">
      <c r="F946" s="64"/>
      <c r="G946" s="83"/>
      <c r="H946" s="84"/>
    </row>
    <row r="947">
      <c r="F947" s="64"/>
      <c r="G947" s="83"/>
      <c r="H947" s="84"/>
    </row>
    <row r="948">
      <c r="F948" s="64"/>
      <c r="G948" s="83"/>
      <c r="H948" s="84"/>
    </row>
    <row r="949">
      <c r="F949" s="64"/>
      <c r="G949" s="83"/>
      <c r="H949" s="84"/>
    </row>
    <row r="950">
      <c r="F950" s="64"/>
      <c r="G950" s="83"/>
      <c r="H950" s="84"/>
    </row>
    <row r="951">
      <c r="F951" s="64"/>
      <c r="G951" s="83"/>
      <c r="H951" s="84"/>
    </row>
    <row r="952">
      <c r="F952" s="64"/>
      <c r="G952" s="83"/>
      <c r="H952" s="84"/>
    </row>
    <row r="953">
      <c r="F953" s="64"/>
      <c r="G953" s="83"/>
      <c r="H953" s="84"/>
    </row>
    <row r="954">
      <c r="F954" s="64"/>
      <c r="G954" s="83"/>
      <c r="H954" s="84"/>
    </row>
    <row r="955">
      <c r="F955" s="64"/>
      <c r="G955" s="83"/>
      <c r="H955" s="84"/>
    </row>
    <row r="956">
      <c r="F956" s="64"/>
      <c r="G956" s="83"/>
      <c r="H956" s="84"/>
    </row>
    <row r="957">
      <c r="F957" s="64"/>
      <c r="G957" s="83"/>
      <c r="H957" s="84"/>
    </row>
    <row r="958">
      <c r="F958" s="64"/>
      <c r="G958" s="83"/>
      <c r="H958" s="84"/>
    </row>
    <row r="959">
      <c r="F959" s="64"/>
      <c r="G959" s="83"/>
      <c r="H959" s="84"/>
    </row>
    <row r="960">
      <c r="F960" s="64"/>
      <c r="G960" s="83"/>
      <c r="H960" s="84"/>
    </row>
    <row r="961">
      <c r="F961" s="64"/>
      <c r="G961" s="83"/>
      <c r="H961" s="84"/>
    </row>
    <row r="962">
      <c r="F962" s="64"/>
      <c r="G962" s="83"/>
      <c r="H962" s="84"/>
    </row>
    <row r="963">
      <c r="F963" s="64"/>
      <c r="G963" s="83"/>
      <c r="H963" s="84"/>
    </row>
    <row r="964">
      <c r="F964" s="64"/>
      <c r="G964" s="83"/>
      <c r="H964" s="84"/>
    </row>
    <row r="965">
      <c r="F965" s="64"/>
      <c r="G965" s="83"/>
      <c r="H965" s="84"/>
    </row>
    <row r="966">
      <c r="F966" s="64"/>
      <c r="G966" s="83"/>
      <c r="H966" s="84"/>
    </row>
    <row r="967">
      <c r="F967" s="64"/>
      <c r="G967" s="83"/>
      <c r="H967" s="84"/>
    </row>
    <row r="968">
      <c r="F968" s="64"/>
      <c r="G968" s="83"/>
      <c r="H968" s="84"/>
    </row>
    <row r="969">
      <c r="F969" s="64"/>
      <c r="G969" s="83"/>
      <c r="H969" s="84"/>
    </row>
    <row r="970">
      <c r="F970" s="64"/>
      <c r="G970" s="83"/>
      <c r="H970" s="84"/>
    </row>
    <row r="971">
      <c r="F971" s="64"/>
      <c r="G971" s="83"/>
      <c r="H971" s="84"/>
    </row>
    <row r="972">
      <c r="F972" s="64"/>
      <c r="G972" s="83"/>
      <c r="H972" s="84"/>
    </row>
    <row r="973">
      <c r="F973" s="64"/>
      <c r="G973" s="83"/>
      <c r="H973" s="84"/>
    </row>
    <row r="974">
      <c r="F974" s="64"/>
      <c r="G974" s="83"/>
      <c r="H974" s="84"/>
    </row>
    <row r="975">
      <c r="F975" s="64"/>
      <c r="G975" s="83"/>
      <c r="H975" s="84"/>
    </row>
    <row r="976">
      <c r="F976" s="64"/>
      <c r="G976" s="83"/>
      <c r="H976" s="84"/>
    </row>
    <row r="977">
      <c r="F977" s="64"/>
      <c r="G977" s="83"/>
      <c r="H977" s="84"/>
    </row>
    <row r="978">
      <c r="F978" s="64"/>
      <c r="G978" s="83"/>
      <c r="H978" s="84"/>
    </row>
    <row r="979">
      <c r="F979" s="64"/>
      <c r="G979" s="83"/>
      <c r="H979" s="84"/>
    </row>
    <row r="980">
      <c r="F980" s="64"/>
      <c r="G980" s="83"/>
      <c r="H980" s="84"/>
    </row>
    <row r="981">
      <c r="F981" s="64"/>
      <c r="G981" s="83"/>
      <c r="H981" s="84"/>
    </row>
    <row r="982">
      <c r="F982" s="64"/>
      <c r="G982" s="83"/>
      <c r="H982" s="84"/>
    </row>
    <row r="983">
      <c r="F983" s="64"/>
      <c r="G983" s="83"/>
      <c r="H983" s="84"/>
    </row>
    <row r="984">
      <c r="F984" s="64"/>
      <c r="G984" s="83"/>
      <c r="H984" s="84"/>
    </row>
    <row r="985">
      <c r="F985" s="64"/>
      <c r="G985" s="83"/>
      <c r="H985" s="84"/>
    </row>
    <row r="986">
      <c r="F986" s="64"/>
      <c r="G986" s="83"/>
      <c r="H986" s="84"/>
    </row>
    <row r="987">
      <c r="F987" s="64"/>
      <c r="G987" s="83"/>
      <c r="H987" s="84"/>
    </row>
    <row r="988">
      <c r="F988" s="64"/>
      <c r="G988" s="83"/>
      <c r="H988" s="84"/>
    </row>
    <row r="989">
      <c r="F989" s="64"/>
      <c r="G989" s="83"/>
      <c r="H989" s="84"/>
    </row>
    <row r="990">
      <c r="F990" s="64"/>
      <c r="G990" s="83"/>
      <c r="H990" s="84"/>
    </row>
    <row r="991">
      <c r="F991" s="64"/>
      <c r="G991" s="83"/>
      <c r="H991" s="84"/>
    </row>
    <row r="992">
      <c r="F992" s="64"/>
      <c r="G992" s="83"/>
      <c r="H992" s="84"/>
    </row>
    <row r="993">
      <c r="F993" s="64"/>
      <c r="G993" s="83"/>
      <c r="H993" s="84"/>
    </row>
    <row r="994">
      <c r="F994" s="64"/>
      <c r="G994" s="83"/>
      <c r="H994" s="84"/>
    </row>
    <row r="995">
      <c r="F995" s="64"/>
      <c r="G995" s="83"/>
      <c r="H995" s="84"/>
    </row>
    <row r="996">
      <c r="F996" s="64"/>
      <c r="G996" s="83"/>
      <c r="H996" s="84"/>
    </row>
    <row r="997">
      <c r="F997" s="64"/>
      <c r="G997" s="83"/>
      <c r="H997" s="84"/>
    </row>
    <row r="998">
      <c r="F998" s="64"/>
      <c r="G998" s="83"/>
      <c r="H998" s="84"/>
    </row>
    <row r="999">
      <c r="F999" s="64"/>
      <c r="H999" s="84"/>
    </row>
    <row r="1000">
      <c r="F1000" s="64"/>
      <c r="H1000" s="84"/>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4</v>
      </c>
      <c r="D2" s="62">
        <f t="shared" ref="D2:D6" si="2">C2/COUNTA(I$2:I1000)</f>
        <v>0.1142857143</v>
      </c>
      <c r="E2" s="87">
        <v>1.595775781E9</v>
      </c>
      <c r="F2" s="64">
        <f>IFERROR(__xludf.DUMMYFUNCTION("INDEX(SPLIT(E2, char(10)), 0, 1)/86400+date(1970,1,1)"),44038.62709490741)</f>
        <v>44038.62709</v>
      </c>
      <c r="G2" s="84" t="s">
        <v>965</v>
      </c>
      <c r="H2" s="84" t="s">
        <v>966</v>
      </c>
      <c r="I2" s="39" t="s">
        <v>17</v>
      </c>
      <c r="J2" s="39"/>
    </row>
    <row r="3">
      <c r="A3" s="39" t="s">
        <v>14</v>
      </c>
      <c r="B3" s="39" t="s">
        <v>101</v>
      </c>
      <c r="C3" s="39">
        <f t="shared" si="1"/>
        <v>1</v>
      </c>
      <c r="D3" s="62">
        <f t="shared" si="2"/>
        <v>0.02857142857</v>
      </c>
      <c r="E3" s="87">
        <v>1.595776098E9</v>
      </c>
      <c r="F3" s="64">
        <f>IFERROR(__xludf.DUMMYFUNCTION("INDEX(SPLIT(E3, char(10)), 0, 1)/86400+date(1970,1,1)"),44038.63076388889)</f>
        <v>44038.63076</v>
      </c>
      <c r="G3" s="84" t="s">
        <v>967</v>
      </c>
      <c r="H3" s="84" t="s">
        <v>968</v>
      </c>
      <c r="I3" s="39" t="s">
        <v>16</v>
      </c>
      <c r="J3" s="39"/>
    </row>
    <row r="4">
      <c r="A4" s="39" t="s">
        <v>15</v>
      </c>
      <c r="B4" s="39" t="s">
        <v>104</v>
      </c>
      <c r="C4" s="39">
        <f t="shared" si="1"/>
        <v>5</v>
      </c>
      <c r="D4" s="62">
        <f t="shared" si="2"/>
        <v>0.1428571429</v>
      </c>
      <c r="E4" s="87">
        <v>1.595776232E9</v>
      </c>
      <c r="F4" s="64">
        <f>IFERROR(__xludf.DUMMYFUNCTION("INDEX(SPLIT(E4, char(10)), 0, 1)/86400+date(1970,1,1)"),44038.632314814815)</f>
        <v>44038.63231</v>
      </c>
      <c r="G4" s="84" t="s">
        <v>969</v>
      </c>
      <c r="H4" s="84" t="s">
        <v>970</v>
      </c>
      <c r="I4" s="39" t="s">
        <v>17</v>
      </c>
      <c r="J4" s="39"/>
    </row>
    <row r="5">
      <c r="A5" s="39" t="s">
        <v>16</v>
      </c>
      <c r="B5" s="39" t="s">
        <v>107</v>
      </c>
      <c r="C5" s="39">
        <f t="shared" si="1"/>
        <v>10</v>
      </c>
      <c r="D5" s="62">
        <f t="shared" si="2"/>
        <v>0.2857142857</v>
      </c>
      <c r="E5" s="87">
        <v>1.595776508E9</v>
      </c>
      <c r="F5" s="64">
        <f>IFERROR(__xludf.DUMMYFUNCTION("INDEX(SPLIT(E5, char(10)), 0, 1)/86400+date(1970,1,1)"),44038.63550925926)</f>
        <v>44038.63551</v>
      </c>
      <c r="G5" s="84" t="s">
        <v>971</v>
      </c>
      <c r="H5" s="84" t="s">
        <v>972</v>
      </c>
      <c r="I5" s="39" t="s">
        <v>17</v>
      </c>
      <c r="J5" s="39"/>
    </row>
    <row r="6">
      <c r="A6" s="39" t="s">
        <v>17</v>
      </c>
      <c r="B6" s="39" t="s">
        <v>110</v>
      </c>
      <c r="C6" s="39">
        <f t="shared" si="1"/>
        <v>15</v>
      </c>
      <c r="D6" s="62">
        <f t="shared" si="2"/>
        <v>0.4285714286</v>
      </c>
      <c r="E6" s="87">
        <v>1.595776883E9</v>
      </c>
      <c r="F6" s="64">
        <f>IFERROR(__xludf.DUMMYFUNCTION("INDEX(SPLIT(E6, char(10)), 0, 1)/86400+date(1970,1,1)"),44038.63984953704)</f>
        <v>44038.63985</v>
      </c>
      <c r="G6" s="84" t="s">
        <v>973</v>
      </c>
      <c r="H6" s="84" t="s">
        <v>974</v>
      </c>
      <c r="I6" s="39" t="s">
        <v>17</v>
      </c>
    </row>
    <row r="7">
      <c r="B7" s="39" t="s">
        <v>13</v>
      </c>
      <c r="C7" s="67">
        <f t="shared" ref="C7:D7" si="3">SUM(C2:C6)</f>
        <v>35</v>
      </c>
      <c r="D7" s="68">
        <f t="shared" si="3"/>
        <v>1</v>
      </c>
      <c r="E7" s="87">
        <v>1.595777136E9</v>
      </c>
      <c r="F7" s="64">
        <f>IFERROR(__xludf.DUMMYFUNCTION("INDEX(SPLIT(E7, char(10)), 0, 1)/86400+date(1970,1,1)"),44038.64277777778)</f>
        <v>44038.64278</v>
      </c>
      <c r="G7" s="84" t="s">
        <v>975</v>
      </c>
      <c r="H7" s="84" t="s">
        <v>976</v>
      </c>
      <c r="I7" s="39" t="s">
        <v>14</v>
      </c>
    </row>
    <row r="8">
      <c r="A8" s="69"/>
      <c r="B8" s="39" t="s">
        <v>18</v>
      </c>
      <c r="C8" s="55">
        <f t="shared" ref="C8:D8" si="4">SUM(C5:C6)</f>
        <v>25</v>
      </c>
      <c r="D8" s="13">
        <f t="shared" si="4"/>
        <v>0.7142857143</v>
      </c>
      <c r="E8" s="87">
        <v>1.595777326E9</v>
      </c>
      <c r="F8" s="64">
        <f>IFERROR(__xludf.DUMMYFUNCTION("INDEX(SPLIT(E8, char(10)), 0, 1)/86400+date(1970,1,1)"),44038.64497685185)</f>
        <v>44038.64498</v>
      </c>
      <c r="G8" s="84" t="s">
        <v>977</v>
      </c>
      <c r="H8" s="84" t="s">
        <v>978</v>
      </c>
      <c r="I8" s="39" t="s">
        <v>17</v>
      </c>
    </row>
    <row r="9">
      <c r="A9" s="69"/>
      <c r="B9" s="39" t="s">
        <v>47</v>
      </c>
      <c r="C9" s="55">
        <f>SUM(C6:C7)</f>
        <v>50</v>
      </c>
      <c r="D9" s="13">
        <f>SUM(D5:D6) + D2</f>
        <v>0.8285714286</v>
      </c>
      <c r="E9" s="87">
        <v>1.595777485E9</v>
      </c>
      <c r="F9" s="64">
        <f>IFERROR(__xludf.DUMMYFUNCTION("INDEX(SPLIT(E9, char(10)), 0, 1)/86400+date(1970,1,1)"),44038.64681712963)</f>
        <v>44038.64682</v>
      </c>
      <c r="G9" s="84" t="s">
        <v>979</v>
      </c>
      <c r="H9" s="84" t="s">
        <v>980</v>
      </c>
      <c r="I9" s="39" t="s">
        <v>16</v>
      </c>
    </row>
    <row r="10">
      <c r="A10" s="69"/>
      <c r="B10" s="69"/>
      <c r="C10" s="69"/>
      <c r="D10" s="69"/>
      <c r="E10" s="87">
        <v>1.595777696E9</v>
      </c>
      <c r="F10" s="64">
        <f>IFERROR(__xludf.DUMMYFUNCTION("INDEX(SPLIT(E10, char(10)), 0, 1)/86400+date(1970,1,1)"),44038.649259259255)</f>
        <v>44038.64926</v>
      </c>
      <c r="G10" s="84" t="s">
        <v>981</v>
      </c>
      <c r="H10" s="84" t="s">
        <v>982</v>
      </c>
      <c r="I10" s="39" t="s">
        <v>17</v>
      </c>
    </row>
    <row r="11">
      <c r="A11" s="69"/>
      <c r="B11" s="69"/>
      <c r="C11" s="69"/>
      <c r="D11" s="69"/>
      <c r="E11" s="87">
        <v>1.595777787E9</v>
      </c>
      <c r="F11" s="64">
        <f>IFERROR(__xludf.DUMMYFUNCTION("INDEX(SPLIT(E11, char(10)), 0, 1)/86400+date(1970,1,1)"),44038.6503125)</f>
        <v>44038.65031</v>
      </c>
      <c r="G11" s="84" t="s">
        <v>983</v>
      </c>
      <c r="H11" s="84" t="s">
        <v>984</v>
      </c>
      <c r="I11" s="39" t="s">
        <v>75</v>
      </c>
    </row>
    <row r="12">
      <c r="A12" s="70" t="s">
        <v>123</v>
      </c>
      <c r="B12" s="71" t="s">
        <v>985</v>
      </c>
      <c r="C12" s="72"/>
      <c r="D12" s="72"/>
      <c r="E12" s="87">
        <v>1.59577813E9</v>
      </c>
      <c r="F12" s="64">
        <f>IFERROR(__xludf.DUMMYFUNCTION("INDEX(SPLIT(E12, char(10)), 0, 1)/86400+date(1970,1,1)"),44038.654282407406)</f>
        <v>44038.65428</v>
      </c>
      <c r="G12" s="84" t="s">
        <v>986</v>
      </c>
      <c r="H12" s="84" t="s">
        <v>987</v>
      </c>
      <c r="I12" s="39" t="s">
        <v>17</v>
      </c>
    </row>
    <row r="13">
      <c r="A13" s="70" t="s">
        <v>127</v>
      </c>
      <c r="B13" s="72"/>
      <c r="C13" s="70" t="s">
        <v>91</v>
      </c>
      <c r="D13" s="70" t="s">
        <v>92</v>
      </c>
      <c r="E13" s="87">
        <v>1.595778323E9</v>
      </c>
      <c r="F13" s="64">
        <f>IFERROR(__xludf.DUMMYFUNCTION("INDEX(SPLIT(E13, char(10)), 0, 1)/86400+date(1970,1,1)"),44038.6565162037)</f>
        <v>44038.65652</v>
      </c>
      <c r="G13" s="84" t="s">
        <v>988</v>
      </c>
      <c r="H13" s="84" t="s">
        <v>989</v>
      </c>
      <c r="I13" s="39" t="s">
        <v>15</v>
      </c>
    </row>
    <row r="14">
      <c r="A14" s="5" t="s">
        <v>130</v>
      </c>
      <c r="B14" s="5" t="s">
        <v>131</v>
      </c>
      <c r="C14" s="73">
        <f t="shared" ref="C14:C17" si="5">COUNTIF($A$19:$A1000, A14)</f>
        <v>3</v>
      </c>
      <c r="D14" s="74">
        <f>IFERROR(__xludf.DUMMYFUNCTION("IF(C14, COUNTIF(FILTER($D$19:$D1000, $A$19:$A1000=A14), TRUE)/C14, 0)"),1.0)</f>
        <v>1</v>
      </c>
      <c r="E14" s="87">
        <v>1.595778471E9</v>
      </c>
      <c r="F14" s="64">
        <f>IFERROR(__xludf.DUMMYFUNCTION("INDEX(SPLIT(E14, char(10)), 0, 1)/86400+date(1970,1,1)"),44038.65822916667)</f>
        <v>44038.65823</v>
      </c>
      <c r="G14" s="84" t="s">
        <v>990</v>
      </c>
      <c r="H14" s="84" t="s">
        <v>991</v>
      </c>
      <c r="I14" s="39" t="s">
        <v>16</v>
      </c>
    </row>
    <row r="15">
      <c r="A15" s="5" t="s">
        <v>6</v>
      </c>
      <c r="B15" s="5" t="s">
        <v>134</v>
      </c>
      <c r="C15" s="73">
        <f t="shared" si="5"/>
        <v>7</v>
      </c>
      <c r="D15" s="74">
        <f>IFERROR(__xludf.DUMMYFUNCTION("IF(C15, COUNTIF(FILTER($D$19:$D1000, $A$19:$A1000=A15), TRUE)/C15, 0)"),0.42857142857142855)</f>
        <v>0.4285714286</v>
      </c>
      <c r="E15" s="87">
        <v>1.595778601E9</v>
      </c>
      <c r="F15" s="64">
        <f>IFERROR(__xludf.DUMMYFUNCTION("INDEX(SPLIT(E15, char(10)), 0, 1)/86400+date(1970,1,1)"),44038.659733796296)</f>
        <v>44038.65973</v>
      </c>
      <c r="G15" s="84" t="s">
        <v>992</v>
      </c>
      <c r="H15" s="84" t="s">
        <v>993</v>
      </c>
      <c r="I15" s="39" t="s">
        <v>15</v>
      </c>
    </row>
    <row r="16">
      <c r="A16" s="5" t="s">
        <v>7</v>
      </c>
      <c r="B16" s="5" t="s">
        <v>137</v>
      </c>
      <c r="C16" s="73">
        <f t="shared" si="5"/>
        <v>4</v>
      </c>
      <c r="D16" s="74">
        <f>IFERROR(__xludf.DUMMYFUNCTION("IF(C16, COUNTIF(FILTER($D$19:$D1000, $A$19:$A1000=A16), TRUE)/C16, 0)"),0.5)</f>
        <v>0.5</v>
      </c>
      <c r="E16" s="87">
        <v>1.595778911E9</v>
      </c>
      <c r="F16" s="64">
        <f>IFERROR(__xludf.DUMMYFUNCTION("INDEX(SPLIT(E16, char(10)), 0, 1)/86400+date(1970,1,1)"),44038.66332175926)</f>
        <v>44038.66332</v>
      </c>
      <c r="G16" s="84" t="s">
        <v>994</v>
      </c>
      <c r="H16" s="84" t="s">
        <v>995</v>
      </c>
      <c r="I16" s="39" t="s">
        <v>15</v>
      </c>
    </row>
    <row r="17">
      <c r="A17" s="5" t="s">
        <v>8</v>
      </c>
      <c r="B17" s="5" t="s">
        <v>79</v>
      </c>
      <c r="C17" s="73">
        <f t="shared" si="5"/>
        <v>9</v>
      </c>
      <c r="D17" s="74">
        <f>IFERROR(__xludf.DUMMYFUNCTION("IF(C17, COUNTIF(FILTER($D$19:$D1000, $A$19:$A1000=A17), TRUE)/C17, 0)"),0.2222222222222222)</f>
        <v>0.2222222222</v>
      </c>
      <c r="E17" s="87">
        <v>1.595779034E9</v>
      </c>
      <c r="F17" s="64">
        <f>IFERROR(__xludf.DUMMYFUNCTION("INDEX(SPLIT(E17, char(10)), 0, 1)/86400+date(1970,1,1)"),44038.66474537037)</f>
        <v>44038.66475</v>
      </c>
      <c r="G17" s="84" t="s">
        <v>996</v>
      </c>
      <c r="H17" s="84" t="s">
        <v>997</v>
      </c>
      <c r="I17" s="39" t="s">
        <v>17</v>
      </c>
    </row>
    <row r="18">
      <c r="A18" s="72"/>
      <c r="B18" s="70" t="s">
        <v>9</v>
      </c>
      <c r="C18" s="73">
        <f>SUM(C14:C17)</f>
        <v>23</v>
      </c>
      <c r="D18" s="74">
        <f>COUNTIF($D$19:$D1000, TRUE)/SUM($C$14:$C$17)</f>
        <v>0.4347826087</v>
      </c>
      <c r="E18" s="87">
        <v>1.595779535E9</v>
      </c>
      <c r="F18" s="64">
        <f>IFERROR(__xludf.DUMMYFUNCTION("INDEX(SPLIT(E18, char(10)), 0, 1)/86400+date(1970,1,1)"),44038.67054398148)</f>
        <v>44038.67054</v>
      </c>
      <c r="G18" s="84" t="s">
        <v>998</v>
      </c>
      <c r="H18" s="84" t="s">
        <v>999</v>
      </c>
      <c r="I18" s="39" t="s">
        <v>17</v>
      </c>
    </row>
    <row r="19">
      <c r="A19" s="75" t="s">
        <v>7</v>
      </c>
      <c r="B19" s="75" t="s">
        <v>149</v>
      </c>
      <c r="C19" s="76">
        <v>1.0</v>
      </c>
      <c r="D19" s="78" t="b">
        <v>0</v>
      </c>
      <c r="E19" s="87">
        <v>1.595779754E9</v>
      </c>
      <c r="F19" s="64">
        <f>IFERROR(__xludf.DUMMYFUNCTION("INDEX(SPLIT(E19, char(10)), 0, 1)/86400+date(1970,1,1)"),44038.67307870371)</f>
        <v>44038.67308</v>
      </c>
      <c r="G19" s="84" t="s">
        <v>1000</v>
      </c>
      <c r="H19" s="84" t="s">
        <v>1001</v>
      </c>
      <c r="I19" s="39" t="s">
        <v>15</v>
      </c>
    </row>
    <row r="20">
      <c r="A20" s="75" t="s">
        <v>6</v>
      </c>
      <c r="B20" s="75" t="s">
        <v>727</v>
      </c>
      <c r="C20" s="76">
        <v>9.0</v>
      </c>
      <c r="D20" s="78" t="b">
        <v>1</v>
      </c>
      <c r="E20" s="87">
        <v>1.595779923E9</v>
      </c>
      <c r="F20" s="64">
        <f>IFERROR(__xludf.DUMMYFUNCTION("INDEX(SPLIT(E20, char(10)), 0, 1)/86400+date(1970,1,1)"),44038.675034722226)</f>
        <v>44038.67503</v>
      </c>
      <c r="G20" s="84" t="s">
        <v>1002</v>
      </c>
      <c r="H20" s="84" t="s">
        <v>1003</v>
      </c>
      <c r="I20" s="39" t="s">
        <v>15</v>
      </c>
    </row>
    <row r="21">
      <c r="A21" s="75" t="s">
        <v>130</v>
      </c>
      <c r="B21" s="75" t="s">
        <v>730</v>
      </c>
      <c r="C21" s="76">
        <v>33.0</v>
      </c>
      <c r="D21" s="78" t="b">
        <v>1</v>
      </c>
      <c r="E21" s="87">
        <v>1.59578015E9</v>
      </c>
      <c r="F21" s="64">
        <f>IFERROR(__xludf.DUMMYFUNCTION("INDEX(SPLIT(E21, char(10)), 0, 1)/86400+date(1970,1,1)"),44038.67766203704)</f>
        <v>44038.67766</v>
      </c>
      <c r="G21" s="84" t="s">
        <v>1004</v>
      </c>
      <c r="H21" s="84" t="s">
        <v>1005</v>
      </c>
      <c r="I21" s="39" t="s">
        <v>16</v>
      </c>
    </row>
    <row r="22">
      <c r="A22" s="75" t="s">
        <v>7</v>
      </c>
      <c r="B22" s="75" t="s">
        <v>155</v>
      </c>
      <c r="C22" s="76">
        <v>45.0</v>
      </c>
      <c r="D22" s="78" t="b">
        <v>1</v>
      </c>
      <c r="E22" s="87">
        <v>1.595780329E9</v>
      </c>
      <c r="F22" s="64">
        <f>IFERROR(__xludf.DUMMYFUNCTION("INDEX(SPLIT(E22, char(10)), 0, 1)/86400+date(1970,1,1)"),44038.67973379629)</f>
        <v>44038.67973</v>
      </c>
      <c r="G22" s="84" t="s">
        <v>1006</v>
      </c>
      <c r="H22" s="84" t="s">
        <v>1007</v>
      </c>
      <c r="I22" s="39" t="s">
        <v>17</v>
      </c>
    </row>
    <row r="23">
      <c r="A23" s="75" t="s">
        <v>7</v>
      </c>
      <c r="B23" s="75" t="s">
        <v>158</v>
      </c>
      <c r="C23" s="76">
        <v>45.0</v>
      </c>
      <c r="D23" s="78" t="b">
        <v>0</v>
      </c>
      <c r="E23" s="87">
        <v>1.595780524E9</v>
      </c>
      <c r="F23" s="64">
        <f>IFERROR(__xludf.DUMMYFUNCTION("INDEX(SPLIT(E23, char(10)), 0, 1)/86400+date(1970,1,1)"),44038.68199074074)</f>
        <v>44038.68199</v>
      </c>
      <c r="G23" s="84" t="s">
        <v>1008</v>
      </c>
      <c r="H23" s="84" t="s">
        <v>1009</v>
      </c>
      <c r="I23" s="39" t="s">
        <v>16</v>
      </c>
    </row>
    <row r="24">
      <c r="A24" s="5" t="s">
        <v>8</v>
      </c>
      <c r="B24" s="5" t="s">
        <v>737</v>
      </c>
      <c r="C24" s="76">
        <v>58.0</v>
      </c>
      <c r="D24" s="78" t="b">
        <v>1</v>
      </c>
      <c r="E24" s="87">
        <v>1.595780642E9</v>
      </c>
      <c r="F24" s="64">
        <f>IFERROR(__xludf.DUMMYFUNCTION("INDEX(SPLIT(E24, char(10)), 0, 1)/86400+date(1970,1,1)"),44038.68335648148)</f>
        <v>44038.68336</v>
      </c>
      <c r="G24" s="84" t="s">
        <v>1010</v>
      </c>
      <c r="H24" s="84" t="s">
        <v>1011</v>
      </c>
      <c r="I24" s="39" t="s">
        <v>17</v>
      </c>
    </row>
    <row r="25">
      <c r="A25" s="75" t="s">
        <v>6</v>
      </c>
      <c r="B25" s="72" t="s">
        <v>740</v>
      </c>
      <c r="C25" s="76">
        <v>63.0</v>
      </c>
      <c r="D25" s="78" t="b">
        <v>1</v>
      </c>
      <c r="E25" s="87">
        <v>1.595780826E9</v>
      </c>
      <c r="F25" s="64">
        <f>IFERROR(__xludf.DUMMYFUNCTION("INDEX(SPLIT(E25, char(10)), 0, 1)/86400+date(1970,1,1)"),44038.685486111106)</f>
        <v>44038.68549</v>
      </c>
      <c r="G25" s="84" t="s">
        <v>1012</v>
      </c>
      <c r="H25" s="84" t="s">
        <v>1013</v>
      </c>
      <c r="I25" s="39" t="s">
        <v>17</v>
      </c>
    </row>
    <row r="26">
      <c r="A26" s="75" t="s">
        <v>6</v>
      </c>
      <c r="B26" s="72" t="s">
        <v>743</v>
      </c>
      <c r="C26" s="76">
        <v>69.0</v>
      </c>
      <c r="D26" s="78" t="b">
        <v>0</v>
      </c>
      <c r="E26" s="87">
        <v>1.595780925E9</v>
      </c>
      <c r="F26" s="64">
        <f>IFERROR(__xludf.DUMMYFUNCTION("INDEX(SPLIT(E26, char(10)), 0, 1)/86400+date(1970,1,1)"),44038.686631944445)</f>
        <v>44038.68663</v>
      </c>
      <c r="G26" s="84" t="s">
        <v>1014</v>
      </c>
      <c r="H26" s="84" t="s">
        <v>1015</v>
      </c>
      <c r="I26" s="39" t="s">
        <v>16</v>
      </c>
    </row>
    <row r="27">
      <c r="A27" s="75" t="s">
        <v>130</v>
      </c>
      <c r="B27" s="72" t="s">
        <v>746</v>
      </c>
      <c r="C27" s="76">
        <v>70.0</v>
      </c>
      <c r="D27" s="78" t="b">
        <v>1</v>
      </c>
      <c r="E27" s="87">
        <v>1.595781098E9</v>
      </c>
      <c r="F27" s="64">
        <f>IFERROR(__xludf.DUMMYFUNCTION("INDEX(SPLIT(E27, char(10)), 0, 1)/86400+date(1970,1,1)"),44038.68863425926)</f>
        <v>44038.68863</v>
      </c>
      <c r="G27" s="84" t="s">
        <v>1016</v>
      </c>
      <c r="H27" s="84" t="s">
        <v>1017</v>
      </c>
      <c r="I27" s="39" t="s">
        <v>17</v>
      </c>
    </row>
    <row r="28">
      <c r="A28" s="75" t="s">
        <v>8</v>
      </c>
      <c r="B28" s="72" t="s">
        <v>749</v>
      </c>
      <c r="C28" s="76">
        <v>73.0</v>
      </c>
      <c r="D28" s="78" t="b">
        <v>0</v>
      </c>
      <c r="E28" s="87">
        <v>1.595781188E9</v>
      </c>
      <c r="F28" s="64">
        <f>IFERROR(__xludf.DUMMYFUNCTION("INDEX(SPLIT(E28, char(10)), 0, 1)/86400+date(1970,1,1)"),44038.689675925925)</f>
        <v>44038.68968</v>
      </c>
      <c r="G28" s="84" t="s">
        <v>1018</v>
      </c>
      <c r="H28" s="84" t="s">
        <v>1019</v>
      </c>
      <c r="I28" s="39" t="s">
        <v>17</v>
      </c>
    </row>
    <row r="29">
      <c r="A29" s="75" t="s">
        <v>8</v>
      </c>
      <c r="B29" s="72" t="s">
        <v>752</v>
      </c>
      <c r="C29" s="76">
        <v>73.0</v>
      </c>
      <c r="D29" s="78" t="b">
        <v>0</v>
      </c>
      <c r="E29" s="87">
        <v>1.595781286E9</v>
      </c>
      <c r="F29" s="64">
        <f>IFERROR(__xludf.DUMMYFUNCTION("INDEX(SPLIT(E29, char(10)), 0, 1)/86400+date(1970,1,1)"),44038.69081018519)</f>
        <v>44038.69081</v>
      </c>
      <c r="G29" s="84" t="s">
        <v>1020</v>
      </c>
      <c r="H29" s="84" t="s">
        <v>1021</v>
      </c>
      <c r="I29" s="39" t="s">
        <v>16</v>
      </c>
    </row>
    <row r="30">
      <c r="A30" s="75" t="s">
        <v>8</v>
      </c>
      <c r="B30" s="72" t="s">
        <v>755</v>
      </c>
      <c r="C30" s="76">
        <v>73.0</v>
      </c>
      <c r="D30" s="78" t="b">
        <v>0</v>
      </c>
      <c r="E30" s="87">
        <v>1.595781426E9</v>
      </c>
      <c r="F30" s="64">
        <f>IFERROR(__xludf.DUMMYFUNCTION("INDEX(SPLIT(E30, char(10)), 0, 1)/86400+date(1970,1,1)"),44038.69243055556)</f>
        <v>44038.69243</v>
      </c>
      <c r="G30" s="84" t="s">
        <v>1022</v>
      </c>
      <c r="H30" s="84" t="s">
        <v>1023</v>
      </c>
      <c r="I30" s="39" t="s">
        <v>75</v>
      </c>
    </row>
    <row r="31">
      <c r="A31" s="75" t="s">
        <v>8</v>
      </c>
      <c r="B31" s="72" t="s">
        <v>758</v>
      </c>
      <c r="C31" s="76">
        <v>77.0</v>
      </c>
      <c r="D31" s="78" t="b">
        <v>1</v>
      </c>
      <c r="E31" s="87">
        <v>1.595781537E9</v>
      </c>
      <c r="F31" s="64">
        <f>IFERROR(__xludf.DUMMYFUNCTION("INDEX(SPLIT(E31, char(10)), 0, 1)/86400+date(1970,1,1)"),44038.69371527778)</f>
        <v>44038.69372</v>
      </c>
      <c r="G31" s="84" t="s">
        <v>1024</v>
      </c>
      <c r="H31" s="84" t="s">
        <v>1025</v>
      </c>
      <c r="I31" s="39" t="s">
        <v>75</v>
      </c>
    </row>
    <row r="32">
      <c r="A32" s="75" t="s">
        <v>6</v>
      </c>
      <c r="B32" s="72" t="s">
        <v>761</v>
      </c>
      <c r="C32" s="76">
        <v>83.0</v>
      </c>
      <c r="D32" s="78" t="b">
        <v>0</v>
      </c>
      <c r="E32" s="87">
        <v>1.595781696E9</v>
      </c>
      <c r="F32" s="64">
        <f>IFERROR(__xludf.DUMMYFUNCTION("INDEX(SPLIT(E32, char(10)), 0, 1)/86400+date(1970,1,1)"),44038.695555555554)</f>
        <v>44038.69556</v>
      </c>
      <c r="G32" s="84" t="s">
        <v>1026</v>
      </c>
      <c r="H32" s="84" t="s">
        <v>1027</v>
      </c>
      <c r="I32" s="39" t="s">
        <v>17</v>
      </c>
    </row>
    <row r="33">
      <c r="A33" s="75" t="s">
        <v>8</v>
      </c>
      <c r="B33" s="72" t="s">
        <v>764</v>
      </c>
      <c r="C33" s="76">
        <v>86.0</v>
      </c>
      <c r="D33" s="78" t="b">
        <v>0</v>
      </c>
      <c r="E33" s="87">
        <v>1.595782244E9</v>
      </c>
      <c r="F33" s="64">
        <f>IFERROR(__xludf.DUMMYFUNCTION("INDEX(SPLIT(E33, char(10)), 0, 1)/86400+date(1970,1,1)"),44038.70189814815)</f>
        <v>44038.7019</v>
      </c>
      <c r="G33" s="84" t="s">
        <v>1028</v>
      </c>
      <c r="H33" s="84" t="s">
        <v>1029</v>
      </c>
      <c r="I33" s="39" t="s">
        <v>16</v>
      </c>
    </row>
    <row r="34">
      <c r="A34" s="75" t="s">
        <v>8</v>
      </c>
      <c r="B34" s="72" t="s">
        <v>767</v>
      </c>
      <c r="C34" s="76">
        <v>88.0</v>
      </c>
      <c r="D34" s="78" t="b">
        <v>0</v>
      </c>
      <c r="E34" s="87">
        <v>1.595782383E9</v>
      </c>
      <c r="F34" s="64">
        <f>IFERROR(__xludf.DUMMYFUNCTION("INDEX(SPLIT(E34, char(10)), 0, 1)/86400+date(1970,1,1)"),44038.70350694444)</f>
        <v>44038.70351</v>
      </c>
      <c r="G34" s="84" t="s">
        <v>1030</v>
      </c>
      <c r="H34" s="84" t="s">
        <v>1031</v>
      </c>
      <c r="I34" s="39" t="s">
        <v>75</v>
      </c>
    </row>
    <row r="35">
      <c r="A35" s="75" t="s">
        <v>6</v>
      </c>
      <c r="B35" s="72" t="s">
        <v>770</v>
      </c>
      <c r="C35" s="76">
        <v>90.0</v>
      </c>
      <c r="D35" s="78" t="b">
        <v>0</v>
      </c>
      <c r="E35" s="87">
        <v>1.595782564E9</v>
      </c>
      <c r="F35" s="64">
        <f>IFERROR(__xludf.DUMMYFUNCTION("INDEX(SPLIT(E35, char(10)), 0, 1)/86400+date(1970,1,1)"),44038.70560185185)</f>
        <v>44038.7056</v>
      </c>
      <c r="G35" s="84" t="s">
        <v>1032</v>
      </c>
      <c r="H35" s="84" t="s">
        <v>1033</v>
      </c>
      <c r="I35" s="39" t="s">
        <v>16</v>
      </c>
    </row>
    <row r="36">
      <c r="A36" s="75" t="s">
        <v>6</v>
      </c>
      <c r="B36" s="72" t="s">
        <v>773</v>
      </c>
      <c r="C36" s="76">
        <v>92.0</v>
      </c>
      <c r="D36" s="78" t="b">
        <v>0</v>
      </c>
      <c r="E36" s="87">
        <v>1.595782698E9</v>
      </c>
      <c r="F36" s="64">
        <f>IFERROR(__xludf.DUMMYFUNCTION("INDEX(SPLIT(E36, char(10)), 0, 1)/86400+date(1970,1,1)"),44038.70715277777)</f>
        <v>44038.70715</v>
      </c>
      <c r="G36" s="84" t="s">
        <v>1034</v>
      </c>
      <c r="H36" s="84" t="s">
        <v>1035</v>
      </c>
      <c r="I36" s="39" t="s">
        <v>16</v>
      </c>
    </row>
    <row r="37">
      <c r="A37" s="75" t="s">
        <v>6</v>
      </c>
      <c r="B37" s="72" t="s">
        <v>776</v>
      </c>
      <c r="C37" s="76">
        <v>94.0</v>
      </c>
      <c r="D37" s="78" t="b">
        <v>1</v>
      </c>
      <c r="F37" s="64"/>
      <c r="G37" s="84"/>
      <c r="H37" s="84"/>
      <c r="I37" s="40"/>
    </row>
    <row r="38">
      <c r="A38" s="75" t="s">
        <v>8</v>
      </c>
      <c r="B38" s="72" t="s">
        <v>779</v>
      </c>
      <c r="C38" s="76">
        <v>97.0</v>
      </c>
      <c r="D38" s="78" t="b">
        <v>0</v>
      </c>
      <c r="F38" s="64"/>
      <c r="G38" s="84"/>
      <c r="H38" s="84"/>
      <c r="I38" s="40"/>
    </row>
    <row r="39">
      <c r="A39" s="75" t="s">
        <v>8</v>
      </c>
      <c r="B39" s="72" t="s">
        <v>782</v>
      </c>
      <c r="C39" s="76">
        <v>97.0</v>
      </c>
      <c r="D39" s="78" t="b">
        <v>0</v>
      </c>
      <c r="F39" s="64"/>
      <c r="G39" s="84"/>
      <c r="H39" s="84"/>
      <c r="I39" s="40"/>
    </row>
    <row r="40">
      <c r="A40" s="75" t="s">
        <v>130</v>
      </c>
      <c r="B40" s="72" t="s">
        <v>785</v>
      </c>
      <c r="C40" s="76">
        <v>98.0</v>
      </c>
      <c r="D40" s="78" t="b">
        <v>1</v>
      </c>
      <c r="F40" s="64"/>
      <c r="G40" s="84"/>
      <c r="H40" s="84"/>
      <c r="I40" s="40"/>
    </row>
    <row r="41">
      <c r="A41" s="75" t="s">
        <v>7</v>
      </c>
      <c r="B41" s="72" t="s">
        <v>183</v>
      </c>
      <c r="C41" s="76">
        <v>90.0</v>
      </c>
      <c r="D41" s="78" t="b">
        <v>1</v>
      </c>
      <c r="F41" s="64"/>
      <c r="G41" s="84"/>
      <c r="H41" s="84"/>
      <c r="I41" s="40"/>
    </row>
    <row r="42">
      <c r="A42" s="75"/>
      <c r="B42" s="72"/>
      <c r="C42" s="76"/>
      <c r="D42" s="78"/>
      <c r="F42" s="64"/>
      <c r="G42" s="84"/>
      <c r="H42" s="84"/>
      <c r="I42" s="40"/>
    </row>
    <row r="43">
      <c r="A43" s="69"/>
      <c r="B43" s="69"/>
      <c r="C43" s="69"/>
      <c r="D43" s="69"/>
      <c r="F43" s="64"/>
      <c r="G43" s="84"/>
      <c r="H43" s="84"/>
      <c r="I43" s="40"/>
    </row>
    <row r="44">
      <c r="F44" s="64"/>
      <c r="G44" s="84"/>
      <c r="H44" s="84"/>
      <c r="I44" s="40"/>
    </row>
    <row r="45">
      <c r="F45" s="64"/>
      <c r="G45" s="84"/>
      <c r="H45" s="84"/>
      <c r="I45" s="40"/>
    </row>
    <row r="46">
      <c r="F46" s="64"/>
      <c r="G46" s="84"/>
      <c r="H46" s="84"/>
      <c r="I46" s="40"/>
    </row>
    <row r="47">
      <c r="F47" s="64"/>
      <c r="G47" s="84"/>
      <c r="H47" s="84"/>
      <c r="I47" s="40"/>
    </row>
    <row r="48">
      <c r="F48" s="64"/>
      <c r="G48" s="84"/>
      <c r="H48" s="84"/>
      <c r="I48" s="40"/>
    </row>
    <row r="49">
      <c r="F49" s="64"/>
      <c r="G49" s="84"/>
      <c r="H49" s="84"/>
      <c r="I49" s="40"/>
    </row>
    <row r="50">
      <c r="F50" s="64"/>
      <c r="G50" s="84"/>
      <c r="H50" s="84"/>
      <c r="I50" s="40"/>
    </row>
    <row r="51">
      <c r="F51" s="64"/>
      <c r="G51" s="84"/>
      <c r="H51" s="84"/>
      <c r="I51" s="40"/>
    </row>
    <row r="52">
      <c r="F52" s="64"/>
      <c r="G52" s="84"/>
      <c r="H52" s="84"/>
    </row>
    <row r="53">
      <c r="F53" s="64"/>
      <c r="G53" s="84"/>
      <c r="H53" s="84"/>
    </row>
    <row r="54">
      <c r="F54" s="64"/>
      <c r="G54" s="84"/>
      <c r="H54" s="84"/>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4</v>
      </c>
      <c r="D2" s="62">
        <f t="shared" ref="D2:D6" si="2">C2/COUNTA(I$2:I1000)</f>
        <v>0.125</v>
      </c>
      <c r="E2" s="39">
        <v>1.623676606E9</v>
      </c>
      <c r="F2" s="64">
        <f>IFERROR(__xludf.DUMMYFUNCTION("INDEX(SPLIT(E2, char(10)), 0, 1)/86400+date(1970,1,1)"),44361.55331018519)</f>
        <v>44361.55331</v>
      </c>
      <c r="G2" s="84" t="s">
        <v>1036</v>
      </c>
      <c r="H2" s="84" t="s">
        <v>1037</v>
      </c>
      <c r="I2" s="39" t="s">
        <v>15</v>
      </c>
      <c r="J2" s="39"/>
    </row>
    <row r="3">
      <c r="A3" s="39" t="s">
        <v>14</v>
      </c>
      <c r="B3" s="39" t="s">
        <v>101</v>
      </c>
      <c r="C3" s="39">
        <f t="shared" si="1"/>
        <v>5</v>
      </c>
      <c r="D3" s="62">
        <f t="shared" si="2"/>
        <v>0.15625</v>
      </c>
      <c r="E3" s="39">
        <v>1.623676764E9</v>
      </c>
      <c r="F3" s="64">
        <f>IFERROR(__xludf.DUMMYFUNCTION("INDEX(SPLIT(E3, char(10)), 0, 1)/86400+date(1970,1,1)"),44361.555138888885)</f>
        <v>44361.55514</v>
      </c>
      <c r="G3" s="84" t="s">
        <v>1038</v>
      </c>
      <c r="H3" s="84" t="s">
        <v>1039</v>
      </c>
      <c r="I3" s="39" t="s">
        <v>17</v>
      </c>
      <c r="J3" s="39"/>
    </row>
    <row r="4">
      <c r="A4" s="39" t="s">
        <v>15</v>
      </c>
      <c r="B4" s="39" t="s">
        <v>104</v>
      </c>
      <c r="C4" s="39">
        <f t="shared" si="1"/>
        <v>9</v>
      </c>
      <c r="D4" s="62">
        <f t="shared" si="2"/>
        <v>0.28125</v>
      </c>
      <c r="E4" s="39">
        <v>1.623676927E9</v>
      </c>
      <c r="F4" s="64">
        <f>IFERROR(__xludf.DUMMYFUNCTION("INDEX(SPLIT(E4, char(10)), 0, 1)/86400+date(1970,1,1)"),44361.557025462964)</f>
        <v>44361.55703</v>
      </c>
      <c r="G4" s="84" t="s">
        <v>1040</v>
      </c>
      <c r="H4" s="84" t="s">
        <v>1041</v>
      </c>
      <c r="I4" s="39" t="s">
        <v>14</v>
      </c>
      <c r="J4" s="39"/>
    </row>
    <row r="5">
      <c r="A5" s="39" t="s">
        <v>16</v>
      </c>
      <c r="B5" s="39" t="s">
        <v>107</v>
      </c>
      <c r="C5" s="39">
        <f t="shared" si="1"/>
        <v>8</v>
      </c>
      <c r="D5" s="62">
        <f t="shared" si="2"/>
        <v>0.25</v>
      </c>
      <c r="E5" s="39">
        <v>1.623677548E9</v>
      </c>
      <c r="F5" s="64">
        <f>IFERROR(__xludf.DUMMYFUNCTION("INDEX(SPLIT(E5, char(10)), 0, 1)/86400+date(1970,1,1)"),44361.56421296296)</f>
        <v>44361.56421</v>
      </c>
      <c r="G5" s="84" t="s">
        <v>1042</v>
      </c>
      <c r="H5" s="84" t="s">
        <v>1043</v>
      </c>
      <c r="I5" s="39" t="s">
        <v>17</v>
      </c>
      <c r="J5" s="39"/>
    </row>
    <row r="6">
      <c r="A6" s="39" t="s">
        <v>17</v>
      </c>
      <c r="B6" s="39" t="s">
        <v>110</v>
      </c>
      <c r="C6" s="39">
        <f t="shared" si="1"/>
        <v>6</v>
      </c>
      <c r="D6" s="62">
        <f t="shared" si="2"/>
        <v>0.1875</v>
      </c>
      <c r="E6" s="39">
        <v>1.623677694E9</v>
      </c>
      <c r="F6" s="64">
        <f>IFERROR(__xludf.DUMMYFUNCTION("INDEX(SPLIT(E6, char(10)), 0, 1)/86400+date(1970,1,1)"),44361.56590277777)</f>
        <v>44361.5659</v>
      </c>
      <c r="G6" s="84" t="s">
        <v>1044</v>
      </c>
      <c r="H6" s="84" t="s">
        <v>1045</v>
      </c>
      <c r="I6" s="39" t="s">
        <v>15</v>
      </c>
    </row>
    <row r="7">
      <c r="B7" s="39" t="s">
        <v>13</v>
      </c>
      <c r="C7" s="67">
        <f t="shared" ref="C7:D7" si="3">SUM(C2:C6)</f>
        <v>32</v>
      </c>
      <c r="D7" s="68">
        <f t="shared" si="3"/>
        <v>1</v>
      </c>
      <c r="E7" s="39">
        <v>1.623678172E9</v>
      </c>
      <c r="F7" s="64">
        <f>IFERROR(__xludf.DUMMYFUNCTION("INDEX(SPLIT(E7, char(10)), 0, 1)/86400+date(1970,1,1)"),44361.571435185186)</f>
        <v>44361.57144</v>
      </c>
      <c r="G7" s="84" t="s">
        <v>1046</v>
      </c>
      <c r="H7" s="84" t="s">
        <v>1047</v>
      </c>
      <c r="I7" s="39" t="s">
        <v>16</v>
      </c>
    </row>
    <row r="8">
      <c r="A8" s="69"/>
      <c r="B8" s="39" t="s">
        <v>18</v>
      </c>
      <c r="C8" s="55">
        <f t="shared" ref="C8:D8" si="4">SUM(C5:C6)</f>
        <v>14</v>
      </c>
      <c r="D8" s="13">
        <f t="shared" si="4"/>
        <v>0.4375</v>
      </c>
      <c r="E8" s="39">
        <v>1.623678272E9</v>
      </c>
      <c r="F8" s="64">
        <f>IFERROR(__xludf.DUMMYFUNCTION("INDEX(SPLIT(E8, char(10)), 0, 1)/86400+date(1970,1,1)"),44361.572592592594)</f>
        <v>44361.57259</v>
      </c>
      <c r="G8" s="84" t="s">
        <v>1048</v>
      </c>
      <c r="H8" s="84" t="s">
        <v>1049</v>
      </c>
      <c r="I8" s="39" t="s">
        <v>15</v>
      </c>
    </row>
    <row r="9">
      <c r="A9" s="69"/>
      <c r="B9" s="39" t="s">
        <v>47</v>
      </c>
      <c r="C9" s="55">
        <f>SUM(C6:C7)</f>
        <v>38</v>
      </c>
      <c r="D9" s="13">
        <f>SUM(D5:D6) + D2</f>
        <v>0.5625</v>
      </c>
      <c r="E9" s="39">
        <v>1.623678456E9</v>
      </c>
      <c r="F9" s="64">
        <f>IFERROR(__xludf.DUMMYFUNCTION("INDEX(SPLIT(E9, char(10)), 0, 1)/86400+date(1970,1,1)"),44361.57472222223)</f>
        <v>44361.57472</v>
      </c>
      <c r="G9" s="84" t="s">
        <v>1050</v>
      </c>
      <c r="H9" s="84" t="s">
        <v>1051</v>
      </c>
      <c r="I9" s="39" t="s">
        <v>17</v>
      </c>
    </row>
    <row r="10">
      <c r="A10" s="69"/>
      <c r="B10" s="69"/>
      <c r="C10" s="69"/>
      <c r="D10" s="69"/>
      <c r="E10" s="39">
        <v>1.623678563E9</v>
      </c>
      <c r="F10" s="64">
        <f>IFERROR(__xludf.DUMMYFUNCTION("INDEX(SPLIT(E10, char(10)), 0, 1)/86400+date(1970,1,1)"),44361.575960648144)</f>
        <v>44361.57596</v>
      </c>
      <c r="G10" s="84" t="s">
        <v>1052</v>
      </c>
      <c r="H10" s="84" t="s">
        <v>1053</v>
      </c>
      <c r="I10" s="39" t="s">
        <v>15</v>
      </c>
    </row>
    <row r="11">
      <c r="A11" s="69"/>
      <c r="B11" s="69"/>
      <c r="C11" s="69"/>
      <c r="D11" s="69"/>
      <c r="E11" s="39">
        <v>1.623678698E9</v>
      </c>
      <c r="F11" s="64">
        <f>IFERROR(__xludf.DUMMYFUNCTION("INDEX(SPLIT(E11, char(10)), 0, 1)/86400+date(1970,1,1)"),44361.57752314815)</f>
        <v>44361.57752</v>
      </c>
      <c r="G11" s="84" t="s">
        <v>1054</v>
      </c>
      <c r="H11" s="84" t="s">
        <v>1055</v>
      </c>
      <c r="I11" s="39" t="s">
        <v>14</v>
      </c>
    </row>
    <row r="12">
      <c r="A12" s="70" t="s">
        <v>123</v>
      </c>
      <c r="B12" s="88" t="s">
        <v>1056</v>
      </c>
      <c r="C12" s="72"/>
      <c r="D12" s="72"/>
      <c r="E12" s="39">
        <v>1.623679022E9</v>
      </c>
      <c r="F12" s="64">
        <f>IFERROR(__xludf.DUMMYFUNCTION("INDEX(SPLIT(E12, char(10)), 0, 1)/86400+date(1970,1,1)"),44361.58127314815)</f>
        <v>44361.58127</v>
      </c>
      <c r="G12" s="84" t="s">
        <v>329</v>
      </c>
      <c r="H12" s="84" t="s">
        <v>1057</v>
      </c>
      <c r="I12" s="39" t="s">
        <v>15</v>
      </c>
    </row>
    <row r="13">
      <c r="A13" s="70" t="s">
        <v>127</v>
      </c>
      <c r="B13" s="72"/>
      <c r="C13" s="70" t="s">
        <v>91</v>
      </c>
      <c r="D13" s="70" t="s">
        <v>92</v>
      </c>
      <c r="E13" s="39">
        <v>1.623679323E9</v>
      </c>
      <c r="F13" s="64">
        <f>IFERROR(__xludf.DUMMYFUNCTION("INDEX(SPLIT(E13, char(10)), 0, 1)/86400+date(1970,1,1)"),44361.584756944445)</f>
        <v>44361.58476</v>
      </c>
      <c r="G13" s="84" t="s">
        <v>1058</v>
      </c>
      <c r="H13" s="84" t="s">
        <v>1059</v>
      </c>
      <c r="I13" s="39" t="s">
        <v>16</v>
      </c>
    </row>
    <row r="14">
      <c r="A14" s="5" t="s">
        <v>130</v>
      </c>
      <c r="B14" s="5" t="s">
        <v>131</v>
      </c>
      <c r="C14" s="73">
        <f t="shared" ref="C14:C17" si="5">COUNTIF($A$19:$A1000, A14)</f>
        <v>2</v>
      </c>
      <c r="D14" s="74">
        <f>IFERROR(__xludf.DUMMYFUNCTION("IF(C14, COUNTIF(FILTER($D$19:$D1000, $A$19:$A1000=A14), TRUE)/C14, 0)"),1.0)</f>
        <v>1</v>
      </c>
      <c r="E14" s="39">
        <v>1.623679483E9</v>
      </c>
      <c r="F14" s="64">
        <f>IFERROR(__xludf.DUMMYFUNCTION("INDEX(SPLIT(E14, char(10)), 0, 1)/86400+date(1970,1,1)"),44361.58660879629)</f>
        <v>44361.58661</v>
      </c>
      <c r="G14" s="84" t="s">
        <v>1060</v>
      </c>
      <c r="H14" s="84" t="s">
        <v>1061</v>
      </c>
      <c r="I14" s="39" t="s">
        <v>17</v>
      </c>
    </row>
    <row r="15">
      <c r="A15" s="5" t="s">
        <v>6</v>
      </c>
      <c r="B15" s="5" t="s">
        <v>134</v>
      </c>
      <c r="C15" s="73">
        <f t="shared" si="5"/>
        <v>0</v>
      </c>
      <c r="D15" s="74">
        <f>IFERROR(__xludf.DUMMYFUNCTION("IF(C15, COUNTIF(FILTER($D$19:$D1000, $A$19:$A1000=A15), TRUE)/C15, 0)"),0.0)</f>
        <v>0</v>
      </c>
      <c r="E15" s="39">
        <v>1.623679587E9</v>
      </c>
      <c r="F15" s="64">
        <f>IFERROR(__xludf.DUMMYFUNCTION("INDEX(SPLIT(E15, char(10)), 0, 1)/86400+date(1970,1,1)"),44361.5878125)</f>
        <v>44361.58781</v>
      </c>
      <c r="G15" s="84" t="s">
        <v>1062</v>
      </c>
      <c r="H15" s="84" t="s">
        <v>1063</v>
      </c>
      <c r="I15" s="39" t="s">
        <v>14</v>
      </c>
    </row>
    <row r="16">
      <c r="A16" s="5" t="s">
        <v>7</v>
      </c>
      <c r="B16" s="5" t="s">
        <v>137</v>
      </c>
      <c r="C16" s="73">
        <f t="shared" si="5"/>
        <v>4</v>
      </c>
      <c r="D16" s="74">
        <f>IFERROR(__xludf.DUMMYFUNCTION("IF(C16, COUNTIF(FILTER($D$19:$D1000, $A$19:$A1000=A16), TRUE)/C16, 0)"),0.25)</f>
        <v>0.25</v>
      </c>
      <c r="E16" s="39">
        <v>1.623679689E9</v>
      </c>
      <c r="F16" s="64">
        <f>IFERROR(__xludf.DUMMYFUNCTION("INDEX(SPLIT(E16, char(10)), 0, 1)/86400+date(1970,1,1)"),44361.58899305556)</f>
        <v>44361.58899</v>
      </c>
      <c r="G16" s="84" t="s">
        <v>1064</v>
      </c>
      <c r="H16" s="84" t="s">
        <v>1065</v>
      </c>
      <c r="I16" s="39" t="s">
        <v>16</v>
      </c>
    </row>
    <row r="17">
      <c r="A17" s="5" t="s">
        <v>8</v>
      </c>
      <c r="B17" s="5" t="s">
        <v>79</v>
      </c>
      <c r="C17" s="73">
        <f t="shared" si="5"/>
        <v>10</v>
      </c>
      <c r="D17" s="74">
        <f>IFERROR(__xludf.DUMMYFUNCTION("IF(C17, COUNTIF(FILTER($D$19:$D1000, $A$19:$A1000=A17), TRUE)/C17, 0)"),0.6)</f>
        <v>0.6</v>
      </c>
      <c r="E17" s="39">
        <v>1.623679789E9</v>
      </c>
      <c r="F17" s="64">
        <f>IFERROR(__xludf.DUMMYFUNCTION("INDEX(SPLIT(E17, char(10)), 0, 1)/86400+date(1970,1,1)"),44361.59015046296)</f>
        <v>44361.59015</v>
      </c>
      <c r="G17" s="84" t="s">
        <v>1066</v>
      </c>
      <c r="H17" s="84" t="s">
        <v>1067</v>
      </c>
      <c r="I17" s="39" t="s">
        <v>14</v>
      </c>
    </row>
    <row r="18">
      <c r="A18" s="72"/>
      <c r="B18" s="70" t="s">
        <v>9</v>
      </c>
      <c r="C18" s="73">
        <f>SUM(C14:C17)</f>
        <v>16</v>
      </c>
      <c r="D18" s="74">
        <f>COUNTIF($D$19:$D1000, TRUE)/SUM($C$14:$C$17)</f>
        <v>0.5625</v>
      </c>
      <c r="E18" s="39">
        <v>1.62367988E9</v>
      </c>
      <c r="F18" s="64">
        <f>IFERROR(__xludf.DUMMYFUNCTION("INDEX(SPLIT(E18, char(10)), 0, 1)/86400+date(1970,1,1)"),44361.591203703705)</f>
        <v>44361.5912</v>
      </c>
      <c r="G18" s="84" t="s">
        <v>1068</v>
      </c>
      <c r="H18" s="84" t="s">
        <v>1069</v>
      </c>
      <c r="I18" s="39" t="s">
        <v>75</v>
      </c>
    </row>
    <row r="19">
      <c r="A19" s="70" t="s">
        <v>97</v>
      </c>
      <c r="B19" s="70" t="s">
        <v>144</v>
      </c>
      <c r="C19" s="70" t="s">
        <v>145</v>
      </c>
      <c r="D19" s="70" t="s">
        <v>146</v>
      </c>
      <c r="E19" s="39">
        <v>1.623679999E9</v>
      </c>
      <c r="F19" s="64">
        <f>IFERROR(__xludf.DUMMYFUNCTION("INDEX(SPLIT(E19, char(10)), 0, 1)/86400+date(1970,1,1)"),44361.592581018514)</f>
        <v>44361.59258</v>
      </c>
      <c r="G19" s="84" t="s">
        <v>1070</v>
      </c>
      <c r="H19" s="84" t="s">
        <v>1071</v>
      </c>
      <c r="I19" s="39" t="s">
        <v>17</v>
      </c>
    </row>
    <row r="20">
      <c r="A20" s="75" t="s">
        <v>7</v>
      </c>
      <c r="B20" s="75" t="s">
        <v>149</v>
      </c>
      <c r="C20" s="76">
        <v>1.0</v>
      </c>
      <c r="D20" s="78" t="b">
        <v>0</v>
      </c>
      <c r="E20" s="39">
        <v>1.62368009E9</v>
      </c>
      <c r="F20" s="64">
        <f>IFERROR(__xludf.DUMMYFUNCTION("INDEX(SPLIT(E20, char(10)), 0, 1)/86400+date(1970,1,1)"),44361.59363425926)</f>
        <v>44361.59363</v>
      </c>
      <c r="G20" s="84" t="s">
        <v>1072</v>
      </c>
      <c r="H20" s="84" t="s">
        <v>1073</v>
      </c>
      <c r="I20" s="39" t="s">
        <v>75</v>
      </c>
    </row>
    <row r="21">
      <c r="A21" s="75" t="s">
        <v>130</v>
      </c>
      <c r="B21" s="75" t="s">
        <v>1074</v>
      </c>
      <c r="C21" s="76">
        <v>42.0</v>
      </c>
      <c r="D21" s="78" t="b">
        <v>1</v>
      </c>
      <c r="E21" s="39">
        <v>1.623680197E9</v>
      </c>
      <c r="F21" s="64">
        <f>IFERROR(__xludf.DUMMYFUNCTION("INDEX(SPLIT(E21, char(10)), 0, 1)/86400+date(1970,1,1)"),44361.594872685186)</f>
        <v>44361.59487</v>
      </c>
      <c r="G21" s="84" t="s">
        <v>1075</v>
      </c>
      <c r="H21" s="84" t="s">
        <v>1076</v>
      </c>
      <c r="I21" s="39" t="s">
        <v>75</v>
      </c>
    </row>
    <row r="22">
      <c r="A22" s="75" t="s">
        <v>7</v>
      </c>
      <c r="B22" s="75" t="s">
        <v>155</v>
      </c>
      <c r="C22" s="76">
        <v>45.0</v>
      </c>
      <c r="D22" s="78" t="b">
        <v>0</v>
      </c>
      <c r="E22" s="39">
        <v>1.623680307E9</v>
      </c>
      <c r="F22" s="64">
        <f>IFERROR(__xludf.DUMMYFUNCTION("INDEX(SPLIT(E22, char(10)), 0, 1)/86400+date(1970,1,1)"),44361.59614583333)</f>
        <v>44361.59615</v>
      </c>
      <c r="G22" s="84" t="s">
        <v>1077</v>
      </c>
      <c r="H22" s="84" t="s">
        <v>1078</v>
      </c>
      <c r="I22" s="39" t="s">
        <v>15</v>
      </c>
    </row>
    <row r="23">
      <c r="A23" s="75" t="s">
        <v>7</v>
      </c>
      <c r="B23" s="75" t="s">
        <v>158</v>
      </c>
      <c r="C23" s="76">
        <v>46.0</v>
      </c>
      <c r="D23" s="78" t="b">
        <v>0</v>
      </c>
      <c r="E23" s="39">
        <v>1.62368041E9</v>
      </c>
      <c r="F23" s="64">
        <f>IFERROR(__xludf.DUMMYFUNCTION("INDEX(SPLIT(E23, char(10)), 0, 1)/86400+date(1970,1,1)"),44361.59733796296)</f>
        <v>44361.59734</v>
      </c>
      <c r="G23" s="84" t="s">
        <v>1079</v>
      </c>
      <c r="H23" s="84" t="s">
        <v>1080</v>
      </c>
      <c r="I23" s="39" t="s">
        <v>15</v>
      </c>
    </row>
    <row r="24">
      <c r="A24" s="5" t="s">
        <v>8</v>
      </c>
      <c r="B24" s="5" t="s">
        <v>1081</v>
      </c>
      <c r="C24" s="76">
        <v>46.0</v>
      </c>
      <c r="D24" s="78" t="b">
        <v>1</v>
      </c>
      <c r="E24" s="39">
        <v>1.623680505E9</v>
      </c>
      <c r="F24" s="64">
        <f>IFERROR(__xludf.DUMMYFUNCTION("INDEX(SPLIT(E24, char(10)), 0, 1)/86400+date(1970,1,1)"),44361.5984375)</f>
        <v>44361.59844</v>
      </c>
      <c r="G24" s="84" t="s">
        <v>1082</v>
      </c>
      <c r="H24" s="84" t="s">
        <v>1083</v>
      </c>
      <c r="I24" s="39" t="s">
        <v>16</v>
      </c>
    </row>
    <row r="25">
      <c r="A25" s="75" t="s">
        <v>130</v>
      </c>
      <c r="B25" s="72" t="s">
        <v>1074</v>
      </c>
      <c r="C25" s="76">
        <v>52.0</v>
      </c>
      <c r="D25" s="78" t="b">
        <v>1</v>
      </c>
      <c r="E25" s="39">
        <v>1.623680597E9</v>
      </c>
      <c r="F25" s="64">
        <f>IFERROR(__xludf.DUMMYFUNCTION("INDEX(SPLIT(E25, char(10)), 0, 1)/86400+date(1970,1,1)"),44361.59950231481)</f>
        <v>44361.5995</v>
      </c>
      <c r="G25" s="84" t="s">
        <v>1084</v>
      </c>
      <c r="H25" s="84" t="s">
        <v>1085</v>
      </c>
      <c r="I25" s="39" t="s">
        <v>17</v>
      </c>
    </row>
    <row r="26">
      <c r="A26" s="75" t="s">
        <v>8</v>
      </c>
      <c r="B26" s="72" t="s">
        <v>1086</v>
      </c>
      <c r="C26" s="76">
        <v>67.0</v>
      </c>
      <c r="D26" s="78" t="b">
        <v>0</v>
      </c>
      <c r="E26" s="39">
        <v>1.62368071E9</v>
      </c>
      <c r="F26" s="64">
        <f>IFERROR(__xludf.DUMMYFUNCTION("INDEX(SPLIT(E26, char(10)), 0, 1)/86400+date(1970,1,1)"),44361.600810185184)</f>
        <v>44361.60081</v>
      </c>
      <c r="G26" s="84" t="s">
        <v>1087</v>
      </c>
      <c r="H26" s="84" t="s">
        <v>1088</v>
      </c>
      <c r="I26" s="39" t="s">
        <v>16</v>
      </c>
    </row>
    <row r="27">
      <c r="A27" s="75" t="s">
        <v>8</v>
      </c>
      <c r="B27" s="72" t="s">
        <v>1089</v>
      </c>
      <c r="C27" s="76">
        <v>67.0</v>
      </c>
      <c r="D27" s="78" t="b">
        <v>1</v>
      </c>
      <c r="E27" s="39">
        <v>1.623680808E9</v>
      </c>
      <c r="F27" s="64">
        <f>IFERROR(__xludf.DUMMYFUNCTION("INDEX(SPLIT(E27, char(10)), 0, 1)/86400+date(1970,1,1)"),44361.60194444444)</f>
        <v>44361.60194</v>
      </c>
      <c r="G27" s="84" t="s">
        <v>1090</v>
      </c>
      <c r="H27" s="84" t="s">
        <v>1091</v>
      </c>
      <c r="I27" s="39" t="s">
        <v>15</v>
      </c>
    </row>
    <row r="28">
      <c r="A28" s="75" t="s">
        <v>8</v>
      </c>
      <c r="B28" s="89" t="s">
        <v>1092</v>
      </c>
      <c r="C28" s="76">
        <v>67.0</v>
      </c>
      <c r="D28" s="78" t="b">
        <v>1</v>
      </c>
      <c r="E28" s="39">
        <v>1.62368092E9</v>
      </c>
      <c r="F28" s="64">
        <f>IFERROR(__xludf.DUMMYFUNCTION("INDEX(SPLIT(E28, char(10)), 0, 1)/86400+date(1970,1,1)"),44361.60324074074)</f>
        <v>44361.60324</v>
      </c>
      <c r="G28" s="84" t="s">
        <v>1093</v>
      </c>
      <c r="H28" s="84" t="s">
        <v>1094</v>
      </c>
      <c r="I28" s="39" t="s">
        <v>16</v>
      </c>
    </row>
    <row r="29">
      <c r="A29" s="75" t="s">
        <v>8</v>
      </c>
      <c r="B29" s="72" t="s">
        <v>1095</v>
      </c>
      <c r="C29" s="76">
        <v>72.0</v>
      </c>
      <c r="D29" s="78" t="b">
        <v>1</v>
      </c>
      <c r="E29" s="39">
        <v>1.623681073E9</v>
      </c>
      <c r="F29" s="64">
        <f>IFERROR(__xludf.DUMMYFUNCTION("INDEX(SPLIT(E29, char(10)), 0, 1)/86400+date(1970,1,1)"),44361.60501157407)</f>
        <v>44361.60501</v>
      </c>
      <c r="G29" s="84" t="s">
        <v>1096</v>
      </c>
      <c r="H29" s="84" t="s">
        <v>1097</v>
      </c>
      <c r="I29" s="39" t="s">
        <v>15</v>
      </c>
    </row>
    <row r="30">
      <c r="A30" s="75" t="s">
        <v>8</v>
      </c>
      <c r="B30" s="72" t="s">
        <v>1098</v>
      </c>
      <c r="C30" s="76">
        <v>72.0</v>
      </c>
      <c r="D30" s="78" t="b">
        <v>0</v>
      </c>
      <c r="E30" s="39">
        <v>1.623681315E9</v>
      </c>
      <c r="F30" s="64">
        <f>IFERROR(__xludf.DUMMYFUNCTION("INDEX(SPLIT(E30, char(10)), 0, 1)/86400+date(1970,1,1)"),44361.6078125)</f>
        <v>44361.60781</v>
      </c>
      <c r="G30" s="84" t="s">
        <v>1099</v>
      </c>
      <c r="H30" s="84" t="s">
        <v>1100</v>
      </c>
      <c r="I30" s="39" t="s">
        <v>14</v>
      </c>
    </row>
    <row r="31">
      <c r="A31" s="75" t="s">
        <v>8</v>
      </c>
      <c r="B31" s="72" t="s">
        <v>1101</v>
      </c>
      <c r="C31" s="76">
        <v>79.0</v>
      </c>
      <c r="D31" s="78" t="b">
        <v>1</v>
      </c>
      <c r="E31" s="39">
        <v>1.623681448E9</v>
      </c>
      <c r="F31" s="64">
        <f>IFERROR(__xludf.DUMMYFUNCTION("INDEX(SPLIT(E31, char(10)), 0, 1)/86400+date(1970,1,1)"),44361.60935185185)</f>
        <v>44361.60935</v>
      </c>
      <c r="G31" s="84" t="s">
        <v>1102</v>
      </c>
      <c r="H31" s="84" t="s">
        <v>1103</v>
      </c>
      <c r="I31" s="39" t="s">
        <v>16</v>
      </c>
    </row>
    <row r="32">
      <c r="A32" s="75" t="s">
        <v>8</v>
      </c>
      <c r="B32" s="72" t="s">
        <v>1104</v>
      </c>
      <c r="C32" s="76">
        <v>79.0</v>
      </c>
      <c r="D32" s="78" t="b">
        <v>1</v>
      </c>
      <c r="E32" s="39">
        <v>1.623681964E9</v>
      </c>
      <c r="F32" s="64">
        <f>IFERROR(__xludf.DUMMYFUNCTION("INDEX(SPLIT(E32, char(10)), 0, 1)/86400+date(1970,1,1)"),44361.615324074075)</f>
        <v>44361.61532</v>
      </c>
      <c r="G32" s="84" t="s">
        <v>1105</v>
      </c>
      <c r="H32" s="84" t="s">
        <v>1106</v>
      </c>
      <c r="I32" s="39" t="s">
        <v>75</v>
      </c>
    </row>
    <row r="33">
      <c r="A33" s="75" t="s">
        <v>8</v>
      </c>
      <c r="B33" s="72" t="s">
        <v>1107</v>
      </c>
      <c r="C33" s="76">
        <v>87.0</v>
      </c>
      <c r="D33" s="78" t="b">
        <v>0</v>
      </c>
      <c r="E33" s="39">
        <v>1.623682108E9</v>
      </c>
      <c r="F33" s="64">
        <f>IFERROR(__xludf.DUMMYFUNCTION("INDEX(SPLIT(E33, char(10)), 0, 1)/86400+date(1970,1,1)"),44361.616990740746)</f>
        <v>44361.61699</v>
      </c>
      <c r="G33" s="84" t="s">
        <v>1108</v>
      </c>
      <c r="H33" s="84" t="s">
        <v>1109</v>
      </c>
      <c r="I33" s="39" t="s">
        <v>16</v>
      </c>
    </row>
    <row r="34">
      <c r="A34" s="75" t="s">
        <v>8</v>
      </c>
      <c r="B34" s="72" t="s">
        <v>1110</v>
      </c>
      <c r="C34" s="76">
        <v>87.0</v>
      </c>
      <c r="D34" s="78" t="b">
        <v>0</v>
      </c>
      <c r="F34" s="64"/>
      <c r="G34" s="84"/>
      <c r="H34" s="84"/>
      <c r="I34" s="40"/>
    </row>
    <row r="35">
      <c r="A35" s="75" t="s">
        <v>7</v>
      </c>
      <c r="B35" s="72" t="s">
        <v>183</v>
      </c>
      <c r="C35" s="76">
        <v>90.0</v>
      </c>
      <c r="D35" s="78" t="b">
        <v>1</v>
      </c>
      <c r="E35" s="82"/>
      <c r="F35" s="64"/>
      <c r="G35" s="81"/>
      <c r="H35" s="84"/>
      <c r="I35" s="40"/>
    </row>
    <row r="36">
      <c r="A36" s="75"/>
      <c r="B36" s="72"/>
      <c r="C36" s="76"/>
      <c r="D36" s="78"/>
      <c r="E36" s="82"/>
      <c r="F36" s="64"/>
      <c r="G36" s="81"/>
      <c r="H36" s="81"/>
      <c r="I36" s="40"/>
    </row>
    <row r="37">
      <c r="A37" s="75"/>
      <c r="B37" s="72"/>
      <c r="C37" s="76"/>
      <c r="D37" s="78"/>
      <c r="E37" s="82"/>
      <c r="F37" s="64"/>
      <c r="G37" s="81"/>
      <c r="H37" s="81"/>
      <c r="I37" s="40"/>
    </row>
    <row r="38">
      <c r="A38" s="75"/>
      <c r="B38" s="72"/>
      <c r="C38" s="76"/>
      <c r="D38" s="78"/>
      <c r="E38" s="82"/>
      <c r="F38" s="64"/>
      <c r="G38" s="81"/>
      <c r="H38" s="81"/>
      <c r="I38" s="40"/>
    </row>
    <row r="39">
      <c r="A39" s="66"/>
      <c r="B39" s="72"/>
      <c r="C39" s="76"/>
      <c r="D39" s="78"/>
      <c r="E39" s="82"/>
      <c r="F39" s="64"/>
      <c r="G39" s="81"/>
      <c r="H39" s="81"/>
      <c r="I39" s="40"/>
    </row>
    <row r="40">
      <c r="A40" s="66"/>
      <c r="B40" s="72"/>
      <c r="C40" s="76"/>
      <c r="D40" s="78"/>
      <c r="E40" s="82"/>
      <c r="F40" s="64"/>
      <c r="G40" s="81"/>
      <c r="H40" s="84"/>
      <c r="I40" s="40"/>
    </row>
    <row r="41">
      <c r="A41" s="75"/>
      <c r="B41" s="72"/>
      <c r="C41" s="76"/>
      <c r="D41" s="78"/>
      <c r="E41" s="82"/>
      <c r="F41" s="64"/>
      <c r="G41" s="81"/>
      <c r="H41" s="81"/>
      <c r="I41" s="40"/>
    </row>
    <row r="42">
      <c r="A42" s="75"/>
      <c r="B42" s="72"/>
      <c r="C42" s="76"/>
      <c r="D42" s="78"/>
      <c r="E42" s="82"/>
      <c r="F42" s="64"/>
      <c r="G42" s="81"/>
      <c r="H42" s="81"/>
      <c r="I42" s="40"/>
    </row>
    <row r="43">
      <c r="D43" s="69"/>
      <c r="E43" s="82"/>
      <c r="F43" s="64"/>
      <c r="G43" s="81"/>
      <c r="H43" s="84"/>
      <c r="I43" s="40"/>
    </row>
    <row r="44">
      <c r="D44" s="69"/>
      <c r="E44" s="82"/>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5</v>
      </c>
      <c r="D2" s="62">
        <f t="shared" ref="D2:D6" si="2">C2/COUNTA(I$2:I1000)</f>
        <v>0.25</v>
      </c>
      <c r="E2" s="87">
        <v>1.623676625E9</v>
      </c>
      <c r="F2" s="64">
        <f>IFERROR(__xludf.DUMMYFUNCTION("INDEX(SPLIT(E2, char(10)), 0, 1)/86400+date(1970,1,1)"),44361.55353009259)</f>
        <v>44361.55353</v>
      </c>
      <c r="G2" s="84" t="s">
        <v>1111</v>
      </c>
      <c r="H2" s="84" t="s">
        <v>1112</v>
      </c>
      <c r="I2" s="39" t="s">
        <v>17</v>
      </c>
      <c r="J2" s="39"/>
    </row>
    <row r="3">
      <c r="A3" s="39" t="s">
        <v>14</v>
      </c>
      <c r="B3" s="39" t="s">
        <v>101</v>
      </c>
      <c r="C3" s="39">
        <f t="shared" si="1"/>
        <v>0</v>
      </c>
      <c r="D3" s="62">
        <f t="shared" si="2"/>
        <v>0</v>
      </c>
      <c r="E3" s="87">
        <v>1.623676968E9</v>
      </c>
      <c r="F3" s="64">
        <f>IFERROR(__xludf.DUMMYFUNCTION("INDEX(SPLIT(E3, char(10)), 0, 1)/86400+date(1970,1,1)"),44361.557499999995)</f>
        <v>44361.5575</v>
      </c>
      <c r="G3" s="84" t="s">
        <v>1113</v>
      </c>
      <c r="H3" s="84" t="s">
        <v>1114</v>
      </c>
      <c r="I3" s="39" t="s">
        <v>17</v>
      </c>
      <c r="J3" s="39"/>
    </row>
    <row r="4">
      <c r="A4" s="39" t="s">
        <v>15</v>
      </c>
      <c r="B4" s="39" t="s">
        <v>104</v>
      </c>
      <c r="C4" s="39">
        <f t="shared" si="1"/>
        <v>5</v>
      </c>
      <c r="D4" s="62">
        <f t="shared" si="2"/>
        <v>0.25</v>
      </c>
      <c r="E4" s="87">
        <v>1.62367759E9</v>
      </c>
      <c r="F4" s="64">
        <f>IFERROR(__xludf.DUMMYFUNCTION("INDEX(SPLIT(E4, char(10)), 0, 1)/86400+date(1970,1,1)"),44361.56469907408)</f>
        <v>44361.5647</v>
      </c>
      <c r="G4" s="84" t="s">
        <v>685</v>
      </c>
      <c r="H4" s="84" t="s">
        <v>1115</v>
      </c>
      <c r="I4" s="39" t="s">
        <v>17</v>
      </c>
      <c r="J4" s="39"/>
    </row>
    <row r="5">
      <c r="A5" s="39" t="s">
        <v>16</v>
      </c>
      <c r="B5" s="39" t="s">
        <v>107</v>
      </c>
      <c r="C5" s="39">
        <f t="shared" si="1"/>
        <v>2</v>
      </c>
      <c r="D5" s="62">
        <f t="shared" si="2"/>
        <v>0.1</v>
      </c>
      <c r="E5" s="87">
        <v>1.623677701E9</v>
      </c>
      <c r="F5" s="64">
        <f>IFERROR(__xludf.DUMMYFUNCTION("INDEX(SPLIT(E5, char(10)), 0, 1)/86400+date(1970,1,1)"),44361.565983796296)</f>
        <v>44361.56598</v>
      </c>
      <c r="G5" s="84" t="s">
        <v>1044</v>
      </c>
      <c r="H5" s="84" t="s">
        <v>1045</v>
      </c>
      <c r="I5" s="39" t="s">
        <v>15</v>
      </c>
      <c r="J5" s="39"/>
    </row>
    <row r="6">
      <c r="A6" s="39" t="s">
        <v>17</v>
      </c>
      <c r="B6" s="39" t="s">
        <v>110</v>
      </c>
      <c r="C6" s="39">
        <f t="shared" si="1"/>
        <v>8</v>
      </c>
      <c r="D6" s="62">
        <f t="shared" si="2"/>
        <v>0.4</v>
      </c>
      <c r="E6" s="87">
        <v>1.623678154E9</v>
      </c>
      <c r="F6" s="64">
        <f>IFERROR(__xludf.DUMMYFUNCTION("INDEX(SPLIT(E6, char(10)), 0, 1)/86400+date(1970,1,1)"),44361.571226851855)</f>
        <v>44361.57123</v>
      </c>
      <c r="G6" s="84" t="s">
        <v>1116</v>
      </c>
      <c r="H6" s="84" t="s">
        <v>1117</v>
      </c>
      <c r="I6" s="39" t="s">
        <v>16</v>
      </c>
    </row>
    <row r="7">
      <c r="B7" s="39" t="s">
        <v>13</v>
      </c>
      <c r="C7" s="67">
        <f t="shared" ref="C7:D7" si="3">SUM(C2:C6)</f>
        <v>20</v>
      </c>
      <c r="D7" s="68">
        <f t="shared" si="3"/>
        <v>1</v>
      </c>
      <c r="E7" s="87">
        <v>1.623678277E9</v>
      </c>
      <c r="F7" s="64">
        <f>IFERROR(__xludf.DUMMYFUNCTION("INDEX(SPLIT(E7, char(10)), 0, 1)/86400+date(1970,1,1)"),44361.572650462964)</f>
        <v>44361.57265</v>
      </c>
      <c r="G7" s="84" t="s">
        <v>1118</v>
      </c>
      <c r="H7" s="84" t="s">
        <v>1119</v>
      </c>
      <c r="I7" s="39" t="s">
        <v>75</v>
      </c>
    </row>
    <row r="8">
      <c r="A8" s="69"/>
      <c r="B8" s="39" t="s">
        <v>18</v>
      </c>
      <c r="C8" s="55">
        <f t="shared" ref="C8:D8" si="4">SUM(C5:C6)</f>
        <v>10</v>
      </c>
      <c r="D8" s="13">
        <f t="shared" si="4"/>
        <v>0.5</v>
      </c>
      <c r="E8" s="87">
        <v>1.62367846E9</v>
      </c>
      <c r="F8" s="64">
        <f>IFERROR(__xludf.DUMMYFUNCTION("INDEX(SPLIT(E8, char(10)), 0, 1)/86400+date(1970,1,1)"),44361.57476851852)</f>
        <v>44361.57477</v>
      </c>
      <c r="G8" s="84" t="s">
        <v>1120</v>
      </c>
      <c r="H8" s="84" t="s">
        <v>1121</v>
      </c>
      <c r="I8" s="39" t="s">
        <v>17</v>
      </c>
    </row>
    <row r="9">
      <c r="A9" s="69"/>
      <c r="B9" s="39" t="s">
        <v>47</v>
      </c>
      <c r="C9" s="55">
        <f>SUM(C6:C7)</f>
        <v>28</v>
      </c>
      <c r="D9" s="13">
        <f>SUM(D5:D6) + D2</f>
        <v>0.75</v>
      </c>
      <c r="E9" s="87">
        <v>1.623678603E9</v>
      </c>
      <c r="F9" s="64">
        <f>IFERROR(__xludf.DUMMYFUNCTION("INDEX(SPLIT(E9, char(10)), 0, 1)/86400+date(1970,1,1)"),44361.57642361111)</f>
        <v>44361.57642</v>
      </c>
      <c r="G9" s="84" t="s">
        <v>1122</v>
      </c>
      <c r="H9" s="84" t="s">
        <v>1123</v>
      </c>
      <c r="I9" s="39" t="s">
        <v>17</v>
      </c>
    </row>
    <row r="10">
      <c r="A10" s="69"/>
      <c r="B10" s="69"/>
      <c r="C10" s="69"/>
      <c r="D10" s="69"/>
      <c r="E10" s="87">
        <v>1.623679022E9</v>
      </c>
      <c r="F10" s="64">
        <f>IFERROR(__xludf.DUMMYFUNCTION("INDEX(SPLIT(E10, char(10)), 0, 1)/86400+date(1970,1,1)"),44361.58127314815)</f>
        <v>44361.58127</v>
      </c>
      <c r="G10" s="84" t="s">
        <v>329</v>
      </c>
      <c r="H10" s="84" t="s">
        <v>1057</v>
      </c>
      <c r="I10" s="39" t="s">
        <v>15</v>
      </c>
    </row>
    <row r="11">
      <c r="A11" s="69"/>
      <c r="B11" s="69"/>
      <c r="C11" s="69"/>
      <c r="D11" s="69"/>
      <c r="E11" s="87">
        <v>1.623679483E9</v>
      </c>
      <c r="F11" s="64">
        <f>IFERROR(__xludf.DUMMYFUNCTION("INDEX(SPLIT(E11, char(10)), 0, 1)/86400+date(1970,1,1)"),44361.58660879629)</f>
        <v>44361.58661</v>
      </c>
      <c r="G11" s="84" t="s">
        <v>1124</v>
      </c>
      <c r="H11" s="84" t="s">
        <v>1125</v>
      </c>
      <c r="I11" s="39" t="s">
        <v>17</v>
      </c>
    </row>
    <row r="12">
      <c r="A12" s="70" t="s">
        <v>123</v>
      </c>
      <c r="B12" s="88" t="s">
        <v>1126</v>
      </c>
      <c r="C12" s="72"/>
      <c r="D12" s="72"/>
      <c r="E12" s="87">
        <v>1.62367982E9</v>
      </c>
      <c r="F12" s="64">
        <f>IFERROR(__xludf.DUMMYFUNCTION("INDEX(SPLIT(E12, char(10)), 0, 1)/86400+date(1970,1,1)"),44361.59050925926)</f>
        <v>44361.59051</v>
      </c>
      <c r="G12" s="84" t="s">
        <v>1127</v>
      </c>
      <c r="H12" s="84" t="s">
        <v>1128</v>
      </c>
      <c r="I12" s="39" t="s">
        <v>16</v>
      </c>
    </row>
    <row r="13">
      <c r="A13" s="70" t="s">
        <v>127</v>
      </c>
      <c r="B13" s="72"/>
      <c r="C13" s="70" t="s">
        <v>91</v>
      </c>
      <c r="D13" s="70" t="s">
        <v>92</v>
      </c>
      <c r="E13" s="87">
        <v>1.623679942E9</v>
      </c>
      <c r="F13" s="64">
        <f>IFERROR(__xludf.DUMMYFUNCTION("INDEX(SPLIT(E13, char(10)), 0, 1)/86400+date(1970,1,1)"),44361.5919212963)</f>
        <v>44361.59192</v>
      </c>
      <c r="G13" s="84" t="s">
        <v>1129</v>
      </c>
      <c r="H13" s="84" t="s">
        <v>1130</v>
      </c>
      <c r="I13" s="39" t="s">
        <v>75</v>
      </c>
    </row>
    <row r="14">
      <c r="A14" s="5" t="s">
        <v>130</v>
      </c>
      <c r="B14" s="5" t="s">
        <v>131</v>
      </c>
      <c r="C14" s="73">
        <f t="shared" ref="C14:C17" si="5">COUNTIF($A$19:$A1000, A14)</f>
        <v>2</v>
      </c>
      <c r="D14" s="74">
        <f>IFERROR(__xludf.DUMMYFUNCTION("IF(C14, COUNTIF(FILTER($D$19:$D1000, $A$19:$A1000=A14), TRUE)/C14, 0)"),1.0)</f>
        <v>1</v>
      </c>
      <c r="E14" s="87">
        <v>1.623680057E9</v>
      </c>
      <c r="F14" s="64">
        <f>IFERROR(__xludf.DUMMYFUNCTION("INDEX(SPLIT(E14, char(10)), 0, 1)/86400+date(1970,1,1)"),44361.593252314815)</f>
        <v>44361.59325</v>
      </c>
      <c r="G14" s="84" t="s">
        <v>1131</v>
      </c>
      <c r="H14" s="84" t="s">
        <v>1132</v>
      </c>
      <c r="I14" s="39" t="s">
        <v>15</v>
      </c>
    </row>
    <row r="15">
      <c r="A15" s="5" t="s">
        <v>6</v>
      </c>
      <c r="B15" s="5" t="s">
        <v>134</v>
      </c>
      <c r="C15" s="73">
        <f t="shared" si="5"/>
        <v>0</v>
      </c>
      <c r="D15" s="74">
        <f>IFERROR(__xludf.DUMMYFUNCTION("IF(C15, COUNTIF(FILTER($D$19:$D1000, $A$19:$A1000=A15), TRUE)/C15, 0)"),0.0)</f>
        <v>0</v>
      </c>
      <c r="E15" s="87">
        <v>1.623680175E9</v>
      </c>
      <c r="F15" s="64">
        <f>IFERROR(__xludf.DUMMYFUNCTION("INDEX(SPLIT(E15, char(10)), 0, 1)/86400+date(1970,1,1)"),44361.594618055555)</f>
        <v>44361.59462</v>
      </c>
      <c r="G15" s="84" t="s">
        <v>1133</v>
      </c>
      <c r="H15" s="84" t="s">
        <v>1134</v>
      </c>
      <c r="I15" s="39" t="s">
        <v>15</v>
      </c>
    </row>
    <row r="16">
      <c r="A16" s="5" t="s">
        <v>7</v>
      </c>
      <c r="B16" s="5" t="s">
        <v>137</v>
      </c>
      <c r="C16" s="73">
        <f t="shared" si="5"/>
        <v>4</v>
      </c>
      <c r="D16" s="74">
        <f>IFERROR(__xludf.DUMMYFUNCTION("IF(C16, COUNTIF(FILTER($D$19:$D1000, $A$19:$A1000=A16), TRUE)/C16, 0)"),0.0)</f>
        <v>0</v>
      </c>
      <c r="E16" s="87">
        <v>1.623680644E9</v>
      </c>
      <c r="F16" s="64">
        <f>IFERROR(__xludf.DUMMYFUNCTION("INDEX(SPLIT(E16, char(10)), 0, 1)/86400+date(1970,1,1)"),44361.6000462963)</f>
        <v>44361.60005</v>
      </c>
      <c r="G16" s="84" t="s">
        <v>1135</v>
      </c>
      <c r="H16" s="84" t="s">
        <v>1136</v>
      </c>
      <c r="I16" s="39" t="s">
        <v>17</v>
      </c>
    </row>
    <row r="17">
      <c r="A17" s="5" t="s">
        <v>8</v>
      </c>
      <c r="B17" s="5" t="s">
        <v>79</v>
      </c>
      <c r="C17" s="73">
        <f t="shared" si="5"/>
        <v>10</v>
      </c>
      <c r="D17" s="74">
        <f>IFERROR(__xludf.DUMMYFUNCTION("IF(C17, COUNTIF(FILTER($D$19:$D1000, $A$19:$A1000=A17), TRUE)/C17, 0)"),0.0)</f>
        <v>0</v>
      </c>
      <c r="E17" s="87">
        <v>1.62368075E9</v>
      </c>
      <c r="F17" s="64">
        <f>IFERROR(__xludf.DUMMYFUNCTION("INDEX(SPLIT(E17, char(10)), 0, 1)/86400+date(1970,1,1)"),44361.601273148146)</f>
        <v>44361.60127</v>
      </c>
      <c r="G17" s="84" t="s">
        <v>1137</v>
      </c>
      <c r="H17" s="84" t="s">
        <v>1138</v>
      </c>
      <c r="I17" s="39" t="s">
        <v>75</v>
      </c>
    </row>
    <row r="18">
      <c r="A18" s="72"/>
      <c r="B18" s="70" t="s">
        <v>9</v>
      </c>
      <c r="C18" s="73">
        <f>SUM(C14:C17)</f>
        <v>16</v>
      </c>
      <c r="D18" s="74">
        <f>COUNTIF($D$19:$D1000, TRUE)/SUM($C$14:$C$17)</f>
        <v>0.125</v>
      </c>
      <c r="E18" s="87">
        <v>1.623681475E9</v>
      </c>
      <c r="F18" s="64">
        <f>IFERROR(__xludf.DUMMYFUNCTION("INDEX(SPLIT(E18, char(10)), 0, 1)/86400+date(1970,1,1)"),44361.609664351854)</f>
        <v>44361.60966</v>
      </c>
      <c r="G18" s="84" t="s">
        <v>1139</v>
      </c>
      <c r="H18" s="84" t="s">
        <v>1140</v>
      </c>
      <c r="I18" s="39" t="s">
        <v>15</v>
      </c>
    </row>
    <row r="19">
      <c r="A19" s="70" t="s">
        <v>97</v>
      </c>
      <c r="B19" s="70" t="s">
        <v>144</v>
      </c>
      <c r="C19" s="70" t="s">
        <v>145</v>
      </c>
      <c r="D19" s="70" t="s">
        <v>146</v>
      </c>
      <c r="E19" s="87">
        <v>1.623681957E9</v>
      </c>
      <c r="F19" s="64">
        <f>IFERROR(__xludf.DUMMYFUNCTION("INDEX(SPLIT(E19, char(10)), 0, 1)/86400+date(1970,1,1)"),44361.61524305555)</f>
        <v>44361.61524</v>
      </c>
      <c r="G19" s="84" t="s">
        <v>1141</v>
      </c>
      <c r="H19" s="84" t="s">
        <v>1142</v>
      </c>
      <c r="I19" s="39" t="s">
        <v>75</v>
      </c>
    </row>
    <row r="20">
      <c r="A20" s="75" t="s">
        <v>7</v>
      </c>
      <c r="B20" s="75" t="s">
        <v>149</v>
      </c>
      <c r="C20" s="76">
        <v>1.0</v>
      </c>
      <c r="D20" s="78" t="b">
        <v>0</v>
      </c>
      <c r="E20" s="87">
        <v>1.623682107E9</v>
      </c>
      <c r="F20" s="64">
        <f>IFERROR(__xludf.DUMMYFUNCTION("INDEX(SPLIT(E20, char(10)), 0, 1)/86400+date(1970,1,1)"),44361.61697916666)</f>
        <v>44361.61698</v>
      </c>
      <c r="G20" s="84" t="s">
        <v>1143</v>
      </c>
      <c r="H20" s="84" t="s">
        <v>1144</v>
      </c>
      <c r="I20" s="39" t="s">
        <v>17</v>
      </c>
    </row>
    <row r="21">
      <c r="A21" s="75" t="s">
        <v>130</v>
      </c>
      <c r="B21" s="75" t="s">
        <v>1074</v>
      </c>
      <c r="C21" s="76">
        <v>42.0</v>
      </c>
      <c r="D21" s="78" t="b">
        <v>1</v>
      </c>
      <c r="E21" s="87">
        <v>1.623682232E9</v>
      </c>
      <c r="F21" s="64">
        <f>IFERROR(__xludf.DUMMYFUNCTION("INDEX(SPLIT(E21, char(10)), 0, 1)/86400+date(1970,1,1)"),44361.618425925924)</f>
        <v>44361.61843</v>
      </c>
      <c r="G21" s="84" t="s">
        <v>1145</v>
      </c>
      <c r="H21" s="84" t="s">
        <v>1146</v>
      </c>
      <c r="I21" s="39" t="s">
        <v>75</v>
      </c>
    </row>
    <row r="22">
      <c r="A22" s="75" t="s">
        <v>7</v>
      </c>
      <c r="B22" s="75" t="s">
        <v>155</v>
      </c>
      <c r="C22" s="76">
        <v>45.0</v>
      </c>
      <c r="D22" s="78" t="b">
        <v>0</v>
      </c>
      <c r="F22" s="64"/>
      <c r="G22" s="84"/>
      <c r="H22" s="84"/>
      <c r="I22" s="40"/>
    </row>
    <row r="23">
      <c r="A23" s="75" t="s">
        <v>7</v>
      </c>
      <c r="B23" s="75" t="s">
        <v>158</v>
      </c>
      <c r="C23" s="76">
        <v>46.0</v>
      </c>
      <c r="D23" s="78" t="b">
        <v>0</v>
      </c>
      <c r="F23" s="64"/>
      <c r="G23" s="84"/>
      <c r="H23" s="84"/>
      <c r="I23" s="40"/>
    </row>
    <row r="24">
      <c r="A24" s="5" t="s">
        <v>8</v>
      </c>
      <c r="B24" s="5" t="s">
        <v>1081</v>
      </c>
      <c r="C24" s="76">
        <v>46.0</v>
      </c>
      <c r="D24" s="78" t="b">
        <v>0</v>
      </c>
      <c r="F24" s="64"/>
      <c r="G24" s="84"/>
      <c r="H24" s="84"/>
      <c r="I24" s="40"/>
    </row>
    <row r="25">
      <c r="A25" s="75" t="s">
        <v>130</v>
      </c>
      <c r="B25" s="72" t="s">
        <v>1074</v>
      </c>
      <c r="C25" s="76">
        <v>52.0</v>
      </c>
      <c r="D25" s="78" t="b">
        <v>1</v>
      </c>
      <c r="F25" s="64"/>
      <c r="G25" s="84"/>
      <c r="H25" s="84"/>
      <c r="I25" s="40"/>
    </row>
    <row r="26">
      <c r="A26" s="75" t="s">
        <v>8</v>
      </c>
      <c r="B26" s="72" t="s">
        <v>1086</v>
      </c>
      <c r="C26" s="76">
        <v>67.0</v>
      </c>
      <c r="D26" s="78" t="b">
        <v>0</v>
      </c>
      <c r="F26" s="64"/>
      <c r="G26" s="84"/>
      <c r="H26" s="84"/>
      <c r="I26" s="40"/>
    </row>
    <row r="27">
      <c r="A27" s="75" t="s">
        <v>8</v>
      </c>
      <c r="B27" s="72" t="s">
        <v>1089</v>
      </c>
      <c r="C27" s="76">
        <v>67.0</v>
      </c>
      <c r="D27" s="78" t="b">
        <v>0</v>
      </c>
      <c r="F27" s="64"/>
      <c r="G27" s="84"/>
      <c r="H27" s="84"/>
      <c r="I27" s="40"/>
    </row>
    <row r="28">
      <c r="A28" s="75" t="s">
        <v>8</v>
      </c>
      <c r="B28" s="89" t="s">
        <v>1092</v>
      </c>
      <c r="C28" s="76">
        <v>67.0</v>
      </c>
      <c r="D28" s="78" t="b">
        <v>0</v>
      </c>
      <c r="F28" s="64"/>
      <c r="G28" s="84"/>
      <c r="H28" s="84"/>
      <c r="I28" s="40"/>
    </row>
    <row r="29">
      <c r="A29" s="75" t="s">
        <v>8</v>
      </c>
      <c r="B29" s="72" t="s">
        <v>1095</v>
      </c>
      <c r="C29" s="76">
        <v>72.0</v>
      </c>
      <c r="D29" s="78" t="b">
        <v>0</v>
      </c>
      <c r="F29" s="64"/>
      <c r="G29" s="84"/>
      <c r="H29" s="84"/>
      <c r="I29" s="40"/>
    </row>
    <row r="30">
      <c r="A30" s="75" t="s">
        <v>8</v>
      </c>
      <c r="B30" s="72" t="s">
        <v>1098</v>
      </c>
      <c r="C30" s="76">
        <v>72.0</v>
      </c>
      <c r="D30" s="78" t="b">
        <v>0</v>
      </c>
      <c r="F30" s="64"/>
      <c r="G30" s="84"/>
      <c r="H30" s="84"/>
      <c r="I30" s="40"/>
    </row>
    <row r="31">
      <c r="A31" s="75" t="s">
        <v>8</v>
      </c>
      <c r="B31" s="72" t="s">
        <v>1101</v>
      </c>
      <c r="C31" s="76">
        <v>79.0</v>
      </c>
      <c r="D31" s="78" t="b">
        <v>0</v>
      </c>
      <c r="F31" s="64"/>
      <c r="G31" s="84"/>
      <c r="H31" s="84"/>
      <c r="I31" s="40"/>
    </row>
    <row r="32">
      <c r="A32" s="75" t="s">
        <v>8</v>
      </c>
      <c r="B32" s="72" t="s">
        <v>1104</v>
      </c>
      <c r="C32" s="76">
        <v>79.0</v>
      </c>
      <c r="D32" s="78" t="b">
        <v>0</v>
      </c>
      <c r="F32" s="64"/>
      <c r="G32" s="84"/>
      <c r="H32" s="84"/>
      <c r="I32" s="40"/>
    </row>
    <row r="33">
      <c r="A33" s="75" t="s">
        <v>8</v>
      </c>
      <c r="B33" s="72" t="s">
        <v>1107</v>
      </c>
      <c r="C33" s="76">
        <v>87.0</v>
      </c>
      <c r="D33" s="78" t="b">
        <v>0</v>
      </c>
      <c r="F33" s="64"/>
      <c r="G33" s="84"/>
      <c r="H33" s="84"/>
      <c r="I33" s="40"/>
    </row>
    <row r="34">
      <c r="A34" s="75" t="s">
        <v>8</v>
      </c>
      <c r="B34" s="72" t="s">
        <v>1110</v>
      </c>
      <c r="C34" s="76">
        <v>87.0</v>
      </c>
      <c r="D34" s="78" t="b">
        <v>0</v>
      </c>
      <c r="F34" s="64"/>
      <c r="G34" s="84"/>
      <c r="H34" s="84"/>
      <c r="I34" s="40"/>
    </row>
    <row r="35">
      <c r="A35" s="75" t="s">
        <v>7</v>
      </c>
      <c r="B35" s="72" t="s">
        <v>183</v>
      </c>
      <c r="C35" s="76">
        <v>90.0</v>
      </c>
      <c r="D35" s="78" t="b">
        <v>0</v>
      </c>
      <c r="E35" s="82"/>
      <c r="F35" s="64"/>
      <c r="G35" s="81"/>
      <c r="H35" s="84"/>
      <c r="I35" s="40"/>
    </row>
    <row r="36">
      <c r="A36" s="75"/>
      <c r="B36" s="72"/>
      <c r="C36" s="76"/>
      <c r="D36" s="78"/>
      <c r="E36" s="82"/>
      <c r="F36" s="64"/>
      <c r="G36" s="81"/>
      <c r="H36" s="81"/>
      <c r="I36" s="40"/>
    </row>
    <row r="37">
      <c r="A37" s="75"/>
      <c r="B37" s="72"/>
      <c r="C37" s="76"/>
      <c r="D37" s="78"/>
      <c r="E37" s="82"/>
      <c r="F37" s="64"/>
      <c r="G37" s="81"/>
      <c r="H37" s="81"/>
      <c r="I37" s="40"/>
    </row>
    <row r="38">
      <c r="A38" s="75"/>
      <c r="B38" s="72"/>
      <c r="C38" s="76"/>
      <c r="D38" s="78"/>
      <c r="E38" s="82"/>
      <c r="F38" s="64"/>
      <c r="G38" s="81"/>
      <c r="H38" s="81"/>
      <c r="I38" s="40"/>
    </row>
    <row r="39">
      <c r="A39" s="66"/>
      <c r="B39" s="72"/>
      <c r="C39" s="76"/>
      <c r="D39" s="78"/>
      <c r="E39" s="82"/>
      <c r="F39" s="64"/>
      <c r="G39" s="81"/>
      <c r="H39" s="81"/>
      <c r="I39" s="40"/>
    </row>
    <row r="40">
      <c r="A40" s="66"/>
      <c r="B40" s="72"/>
      <c r="C40" s="76"/>
      <c r="D40" s="78"/>
      <c r="E40" s="82"/>
      <c r="F40" s="64"/>
      <c r="G40" s="81"/>
      <c r="H40" s="84"/>
      <c r="I40" s="40"/>
    </row>
    <row r="41">
      <c r="A41" s="75"/>
      <c r="B41" s="72"/>
      <c r="C41" s="76"/>
      <c r="D41" s="78"/>
      <c r="E41" s="82"/>
      <c r="F41" s="64"/>
      <c r="G41" s="81"/>
      <c r="H41" s="81"/>
      <c r="I41" s="40"/>
    </row>
    <row r="42">
      <c r="A42" s="75"/>
      <c r="B42" s="72"/>
      <c r="C42" s="76"/>
      <c r="D42" s="78"/>
      <c r="E42" s="82"/>
      <c r="F42" s="64"/>
      <c r="G42" s="81"/>
      <c r="H42" s="81"/>
      <c r="I42" s="40"/>
    </row>
    <row r="43">
      <c r="D43" s="69"/>
      <c r="E43" s="82"/>
      <c r="F43" s="64"/>
      <c r="G43" s="81"/>
      <c r="H43" s="84"/>
      <c r="I43" s="40"/>
    </row>
    <row r="44">
      <c r="D44" s="69"/>
      <c r="E44" s="82"/>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0.08333333333</v>
      </c>
      <c r="E2" s="87">
        <v>1.623676616E9</v>
      </c>
      <c r="F2" s="64">
        <f>IFERROR(__xludf.DUMMYFUNCTION("INDEX(SPLIT(E2, char(10)), 0, 1)/86400+date(1970,1,1)"),44361.55342592593)</f>
        <v>44361.55343</v>
      </c>
      <c r="G2" s="84" t="s">
        <v>685</v>
      </c>
      <c r="H2" s="84" t="s">
        <v>1147</v>
      </c>
      <c r="I2" s="39" t="s">
        <v>17</v>
      </c>
      <c r="J2" s="39"/>
    </row>
    <row r="3">
      <c r="A3" s="39" t="s">
        <v>14</v>
      </c>
      <c r="B3" s="39" t="s">
        <v>101</v>
      </c>
      <c r="C3" s="39">
        <f t="shared" si="1"/>
        <v>1</v>
      </c>
      <c r="D3" s="62">
        <f t="shared" si="2"/>
        <v>0.04166666667</v>
      </c>
      <c r="E3" s="87">
        <v>1.623676789E9</v>
      </c>
      <c r="F3" s="64">
        <f>IFERROR(__xludf.DUMMYFUNCTION("INDEX(SPLIT(E3, char(10)), 0, 1)/86400+date(1970,1,1)"),44361.55542824074)</f>
        <v>44361.55543</v>
      </c>
      <c r="G3" s="84" t="s">
        <v>1148</v>
      </c>
      <c r="H3" s="84" t="s">
        <v>1149</v>
      </c>
      <c r="I3" s="39" t="s">
        <v>17</v>
      </c>
      <c r="J3" s="39"/>
    </row>
    <row r="4">
      <c r="A4" s="39" t="s">
        <v>15</v>
      </c>
      <c r="B4" s="39" t="s">
        <v>104</v>
      </c>
      <c r="C4" s="39">
        <f t="shared" si="1"/>
        <v>4</v>
      </c>
      <c r="D4" s="62">
        <f t="shared" si="2"/>
        <v>0.1666666667</v>
      </c>
      <c r="E4" s="87">
        <v>1.62367697E9</v>
      </c>
      <c r="F4" s="64">
        <f>IFERROR(__xludf.DUMMYFUNCTION("INDEX(SPLIT(E4, char(10)), 0, 1)/86400+date(1970,1,1)"),44361.55752314815)</f>
        <v>44361.55752</v>
      </c>
      <c r="G4" s="84" t="s">
        <v>1150</v>
      </c>
      <c r="H4" s="84" t="s">
        <v>1151</v>
      </c>
      <c r="I4" s="39" t="s">
        <v>17</v>
      </c>
      <c r="J4" s="39"/>
    </row>
    <row r="5">
      <c r="A5" s="39" t="s">
        <v>16</v>
      </c>
      <c r="B5" s="39" t="s">
        <v>107</v>
      </c>
      <c r="C5" s="39">
        <f t="shared" si="1"/>
        <v>7</v>
      </c>
      <c r="D5" s="62">
        <f t="shared" si="2"/>
        <v>0.2916666667</v>
      </c>
      <c r="E5" s="87">
        <v>1.623677587E9</v>
      </c>
      <c r="F5" s="64">
        <f>IFERROR(__xludf.DUMMYFUNCTION("INDEX(SPLIT(E5, char(10)), 0, 1)/86400+date(1970,1,1)"),44361.564664351856)</f>
        <v>44361.56466</v>
      </c>
      <c r="G5" s="84" t="s">
        <v>685</v>
      </c>
      <c r="H5" s="84" t="s">
        <v>1152</v>
      </c>
      <c r="I5" s="39" t="s">
        <v>17</v>
      </c>
      <c r="J5" s="39"/>
    </row>
    <row r="6">
      <c r="A6" s="39" t="s">
        <v>17</v>
      </c>
      <c r="B6" s="39" t="s">
        <v>110</v>
      </c>
      <c r="C6" s="39">
        <f t="shared" si="1"/>
        <v>10</v>
      </c>
      <c r="D6" s="62">
        <f t="shared" si="2"/>
        <v>0.4166666667</v>
      </c>
      <c r="E6" s="87">
        <v>1.623678144E9</v>
      </c>
      <c r="F6" s="64">
        <f>IFERROR(__xludf.DUMMYFUNCTION("INDEX(SPLIT(E6, char(10)), 0, 1)/86400+date(1970,1,1)"),44361.571111111116)</f>
        <v>44361.57111</v>
      </c>
      <c r="G6" s="84" t="s">
        <v>1153</v>
      </c>
      <c r="H6" s="84" t="s">
        <v>1154</v>
      </c>
      <c r="I6" s="39" t="s">
        <v>16</v>
      </c>
    </row>
    <row r="7">
      <c r="B7" s="39" t="s">
        <v>13</v>
      </c>
      <c r="C7" s="67">
        <f t="shared" ref="C7:D7" si="3">SUM(C2:C6)</f>
        <v>24</v>
      </c>
      <c r="D7" s="68">
        <f t="shared" si="3"/>
        <v>1</v>
      </c>
      <c r="E7" s="87">
        <v>1.623678248E9</v>
      </c>
      <c r="F7" s="64">
        <f>IFERROR(__xludf.DUMMYFUNCTION("INDEX(SPLIT(E7, char(10)), 0, 1)/86400+date(1970,1,1)"),44361.57231481481)</f>
        <v>44361.57231</v>
      </c>
      <c r="G7" s="84" t="s">
        <v>1155</v>
      </c>
      <c r="H7" s="84" t="s">
        <v>1156</v>
      </c>
      <c r="I7" s="39" t="s">
        <v>75</v>
      </c>
    </row>
    <row r="8">
      <c r="A8" s="69"/>
      <c r="B8" s="39" t="s">
        <v>18</v>
      </c>
      <c r="C8" s="55">
        <f t="shared" ref="C8:D8" si="4">SUM(C5:C6)</f>
        <v>17</v>
      </c>
      <c r="D8" s="13">
        <f t="shared" si="4"/>
        <v>0.7083333333</v>
      </c>
      <c r="E8" s="87">
        <v>1.623678442E9</v>
      </c>
      <c r="F8" s="64">
        <f>IFERROR(__xludf.DUMMYFUNCTION("INDEX(SPLIT(E8, char(10)), 0, 1)/86400+date(1970,1,1)"),44361.57456018518)</f>
        <v>44361.57456</v>
      </c>
      <c r="G8" s="84" t="s">
        <v>1157</v>
      </c>
      <c r="H8" s="84" t="s">
        <v>1158</v>
      </c>
      <c r="I8" s="39" t="s">
        <v>17</v>
      </c>
    </row>
    <row r="9">
      <c r="A9" s="69"/>
      <c r="B9" s="39" t="s">
        <v>47</v>
      </c>
      <c r="C9" s="55">
        <f>SUM(C6:C7)</f>
        <v>34</v>
      </c>
      <c r="D9" s="13">
        <f>SUM(D5:D6) + D2</f>
        <v>0.7916666667</v>
      </c>
      <c r="E9" s="87">
        <v>1.623678552E9</v>
      </c>
      <c r="F9" s="64">
        <f>IFERROR(__xludf.DUMMYFUNCTION("INDEX(SPLIT(E9, char(10)), 0, 1)/86400+date(1970,1,1)"),44361.575833333336)</f>
        <v>44361.57583</v>
      </c>
      <c r="G9" s="84" t="s">
        <v>1159</v>
      </c>
      <c r="H9" s="84" t="s">
        <v>1160</v>
      </c>
      <c r="I9" s="39" t="s">
        <v>14</v>
      </c>
    </row>
    <row r="10">
      <c r="A10" s="69"/>
      <c r="B10" s="69"/>
      <c r="C10" s="69"/>
      <c r="D10" s="69"/>
      <c r="E10" s="87">
        <v>1.623678656E9</v>
      </c>
      <c r="F10" s="64">
        <f>IFERROR(__xludf.DUMMYFUNCTION("INDEX(SPLIT(E10, char(10)), 0, 1)/86400+date(1970,1,1)"),44361.57703703704)</f>
        <v>44361.57704</v>
      </c>
      <c r="G10" s="84" t="s">
        <v>1161</v>
      </c>
      <c r="H10" s="84" t="s">
        <v>1162</v>
      </c>
      <c r="I10" s="39" t="s">
        <v>15</v>
      </c>
    </row>
    <row r="11">
      <c r="A11" s="69"/>
      <c r="B11" s="69"/>
      <c r="C11" s="69"/>
      <c r="D11" s="69"/>
      <c r="E11" s="87">
        <v>1.623679368E9</v>
      </c>
      <c r="F11" s="64">
        <f>IFERROR(__xludf.DUMMYFUNCTION("INDEX(SPLIT(E11, char(10)), 0, 1)/86400+date(1970,1,1)"),44361.585277777776)</f>
        <v>44361.58528</v>
      </c>
      <c r="G11" s="84" t="s">
        <v>1163</v>
      </c>
      <c r="H11" s="84" t="s">
        <v>1164</v>
      </c>
      <c r="I11" s="39" t="s">
        <v>16</v>
      </c>
    </row>
    <row r="12">
      <c r="A12" s="70" t="s">
        <v>123</v>
      </c>
      <c r="B12" s="88" t="s">
        <v>1165</v>
      </c>
      <c r="C12" s="72"/>
      <c r="D12" s="72"/>
      <c r="E12" s="87">
        <v>1.623679565E9</v>
      </c>
      <c r="F12" s="64">
        <f>IFERROR(__xludf.DUMMYFUNCTION("INDEX(SPLIT(E12, char(10)), 0, 1)/86400+date(1970,1,1)"),44361.58755787037)</f>
        <v>44361.58756</v>
      </c>
      <c r="G12" s="84" t="s">
        <v>1166</v>
      </c>
      <c r="H12" s="84" t="s">
        <v>1167</v>
      </c>
      <c r="I12" s="39" t="s">
        <v>17</v>
      </c>
    </row>
    <row r="13">
      <c r="A13" s="70" t="s">
        <v>127</v>
      </c>
      <c r="B13" s="72"/>
      <c r="C13" s="70" t="s">
        <v>91</v>
      </c>
      <c r="D13" s="70" t="s">
        <v>92</v>
      </c>
      <c r="E13" s="87">
        <v>1.623679682E9</v>
      </c>
      <c r="F13" s="64">
        <f>IFERROR(__xludf.DUMMYFUNCTION("INDEX(SPLIT(E13, char(10)), 0, 1)/86400+date(1970,1,1)"),44361.58891203704)</f>
        <v>44361.58891</v>
      </c>
      <c r="G13" s="84" t="s">
        <v>685</v>
      </c>
      <c r="H13" s="84" t="s">
        <v>1168</v>
      </c>
      <c r="I13" s="39" t="s">
        <v>17</v>
      </c>
    </row>
    <row r="14">
      <c r="A14" s="5" t="s">
        <v>130</v>
      </c>
      <c r="B14" s="5" t="s">
        <v>131</v>
      </c>
      <c r="C14" s="73">
        <f t="shared" ref="C14:C17" si="5">COUNTIF($A$19:$A1000, A14)</f>
        <v>2</v>
      </c>
      <c r="D14" s="74">
        <f>IFERROR(__xludf.DUMMYFUNCTION("IF(C14, COUNTIF(FILTER($D$19:$D1000, $A$19:$A1000=A14), TRUE)/C14, 0)"),1.0)</f>
        <v>1</v>
      </c>
      <c r="E14" s="87">
        <v>1.623679792E9</v>
      </c>
      <c r="F14" s="64">
        <f>IFERROR(__xludf.DUMMYFUNCTION("INDEX(SPLIT(E14, char(10)), 0, 1)/86400+date(1970,1,1)"),44361.59018518518)</f>
        <v>44361.59019</v>
      </c>
      <c r="G14" s="84" t="s">
        <v>1169</v>
      </c>
      <c r="H14" s="84" t="s">
        <v>1170</v>
      </c>
      <c r="I14" s="39" t="s">
        <v>16</v>
      </c>
    </row>
    <row r="15">
      <c r="A15" s="5" t="s">
        <v>6</v>
      </c>
      <c r="B15" s="5" t="s">
        <v>134</v>
      </c>
      <c r="C15" s="73">
        <f t="shared" si="5"/>
        <v>0</v>
      </c>
      <c r="D15" s="74">
        <f>IFERROR(__xludf.DUMMYFUNCTION("IF(C15, COUNTIF(FILTER($D$19:$D1000, $A$19:$A1000=A15), TRUE)/C15, 0)"),0.0)</f>
        <v>0</v>
      </c>
      <c r="E15" s="87">
        <v>1.623679893E9</v>
      </c>
      <c r="F15" s="64">
        <f>IFERROR(__xludf.DUMMYFUNCTION("INDEX(SPLIT(E15, char(10)), 0, 1)/86400+date(1970,1,1)"),44361.59135416667)</f>
        <v>44361.59135</v>
      </c>
      <c r="G15" s="84" t="s">
        <v>1171</v>
      </c>
      <c r="H15" s="84" t="s">
        <v>1172</v>
      </c>
      <c r="I15" s="39" t="s">
        <v>75</v>
      </c>
    </row>
    <row r="16">
      <c r="A16" s="5" t="s">
        <v>7</v>
      </c>
      <c r="B16" s="5" t="s">
        <v>137</v>
      </c>
      <c r="C16" s="73">
        <f t="shared" si="5"/>
        <v>4</v>
      </c>
      <c r="D16" s="74">
        <f>IFERROR(__xludf.DUMMYFUNCTION("IF(C16, COUNTIF(FILTER($D$19:$D1000, $A$19:$A1000=A16), TRUE)/C16, 0)"),0.5)</f>
        <v>0.5</v>
      </c>
      <c r="E16" s="87">
        <v>1.623680004E9</v>
      </c>
      <c r="F16" s="64">
        <f>IFERROR(__xludf.DUMMYFUNCTION("INDEX(SPLIT(E16, char(10)), 0, 1)/86400+date(1970,1,1)"),44361.59263888889)</f>
        <v>44361.59264</v>
      </c>
      <c r="G16" s="84" t="s">
        <v>1173</v>
      </c>
      <c r="H16" s="84" t="s">
        <v>1174</v>
      </c>
      <c r="I16" s="39" t="s">
        <v>15</v>
      </c>
    </row>
    <row r="17">
      <c r="A17" s="5" t="s">
        <v>8</v>
      </c>
      <c r="B17" s="5" t="s">
        <v>79</v>
      </c>
      <c r="C17" s="73">
        <f t="shared" si="5"/>
        <v>10</v>
      </c>
      <c r="D17" s="74">
        <f>IFERROR(__xludf.DUMMYFUNCTION("IF(C17, COUNTIF(FILTER($D$19:$D1000, $A$19:$A1000=A17), TRUE)/C17, 0)"),0.6)</f>
        <v>0.6</v>
      </c>
      <c r="E17" s="87">
        <v>1.623680134E9</v>
      </c>
      <c r="F17" s="64">
        <f>IFERROR(__xludf.DUMMYFUNCTION("INDEX(SPLIT(E17, char(10)), 0, 1)/86400+date(1970,1,1)"),44361.59414351852)</f>
        <v>44361.59414</v>
      </c>
      <c r="G17" s="84" t="s">
        <v>1175</v>
      </c>
      <c r="H17" s="84" t="s">
        <v>1176</v>
      </c>
      <c r="I17" s="39" t="s">
        <v>15</v>
      </c>
    </row>
    <row r="18">
      <c r="A18" s="72"/>
      <c r="B18" s="70" t="s">
        <v>9</v>
      </c>
      <c r="C18" s="73">
        <f>SUM(C14:C17)</f>
        <v>16</v>
      </c>
      <c r="D18" s="74">
        <f>COUNTIF($D$19:$D1000, TRUE)/SUM($C$14:$C$17)</f>
        <v>0.625</v>
      </c>
      <c r="E18" s="87">
        <v>1.623680289E9</v>
      </c>
      <c r="F18" s="64">
        <f>IFERROR(__xludf.DUMMYFUNCTION("INDEX(SPLIT(E18, char(10)), 0, 1)/86400+date(1970,1,1)"),44361.595937499995)</f>
        <v>44361.59594</v>
      </c>
      <c r="G18" s="84" t="s">
        <v>1177</v>
      </c>
      <c r="H18" s="84" t="s">
        <v>1178</v>
      </c>
      <c r="I18" s="39" t="s">
        <v>17</v>
      </c>
    </row>
    <row r="19">
      <c r="A19" s="70" t="s">
        <v>97</v>
      </c>
      <c r="B19" s="70" t="s">
        <v>144</v>
      </c>
      <c r="C19" s="70" t="s">
        <v>145</v>
      </c>
      <c r="D19" s="70" t="s">
        <v>146</v>
      </c>
      <c r="E19" s="87">
        <v>1.623680447E9</v>
      </c>
      <c r="F19" s="64">
        <f>IFERROR(__xludf.DUMMYFUNCTION("INDEX(SPLIT(E19, char(10)), 0, 1)/86400+date(1970,1,1)"),44361.597766203704)</f>
        <v>44361.59777</v>
      </c>
      <c r="G19" s="84" t="s">
        <v>1179</v>
      </c>
      <c r="H19" s="84" t="s">
        <v>1180</v>
      </c>
      <c r="I19" s="39" t="s">
        <v>17</v>
      </c>
    </row>
    <row r="20">
      <c r="A20" s="75" t="s">
        <v>7</v>
      </c>
      <c r="B20" s="75" t="s">
        <v>149</v>
      </c>
      <c r="C20" s="76">
        <v>1.0</v>
      </c>
      <c r="D20" s="78" t="b">
        <v>0</v>
      </c>
      <c r="E20" s="87">
        <v>1.623680617E9</v>
      </c>
      <c r="F20" s="64">
        <f>IFERROR(__xludf.DUMMYFUNCTION("INDEX(SPLIT(E20, char(10)), 0, 1)/86400+date(1970,1,1)"),44361.5997337963)</f>
        <v>44361.59973</v>
      </c>
      <c r="G20" s="84" t="s">
        <v>1181</v>
      </c>
      <c r="H20" s="84" t="s">
        <v>1182</v>
      </c>
      <c r="I20" s="39" t="s">
        <v>17</v>
      </c>
    </row>
    <row r="21">
      <c r="A21" s="75" t="s">
        <v>130</v>
      </c>
      <c r="B21" s="75" t="s">
        <v>1074</v>
      </c>
      <c r="C21" s="76">
        <v>42.0</v>
      </c>
      <c r="D21" s="78" t="b">
        <v>1</v>
      </c>
      <c r="E21" s="87">
        <v>1.623680786E9</v>
      </c>
      <c r="F21" s="64">
        <f>IFERROR(__xludf.DUMMYFUNCTION("INDEX(SPLIT(E21, char(10)), 0, 1)/86400+date(1970,1,1)"),44361.601689814815)</f>
        <v>44361.60169</v>
      </c>
      <c r="G21" s="84" t="s">
        <v>1183</v>
      </c>
      <c r="H21" s="84" t="s">
        <v>1184</v>
      </c>
      <c r="I21" s="39" t="s">
        <v>16</v>
      </c>
    </row>
    <row r="22">
      <c r="A22" s="75" t="s">
        <v>7</v>
      </c>
      <c r="B22" s="75" t="s">
        <v>155</v>
      </c>
      <c r="C22" s="76">
        <v>45.0</v>
      </c>
      <c r="D22" s="78" t="b">
        <v>0</v>
      </c>
      <c r="E22" s="87">
        <v>1.623680884E9</v>
      </c>
      <c r="F22" s="64">
        <f>IFERROR(__xludf.DUMMYFUNCTION("INDEX(SPLIT(E22, char(10)), 0, 1)/86400+date(1970,1,1)"),44361.60282407407)</f>
        <v>44361.60282</v>
      </c>
      <c r="G22" s="84" t="s">
        <v>1185</v>
      </c>
      <c r="H22" s="84" t="s">
        <v>1186</v>
      </c>
      <c r="I22" s="39" t="s">
        <v>16</v>
      </c>
    </row>
    <row r="23">
      <c r="A23" s="75" t="s">
        <v>7</v>
      </c>
      <c r="B23" s="75" t="s">
        <v>158</v>
      </c>
      <c r="C23" s="76">
        <v>46.0</v>
      </c>
      <c r="D23" s="78" t="b">
        <v>1</v>
      </c>
      <c r="E23" s="87">
        <v>1.623681428E9</v>
      </c>
      <c r="F23" s="64">
        <f>IFERROR(__xludf.DUMMYFUNCTION("INDEX(SPLIT(E23, char(10)), 0, 1)/86400+date(1970,1,1)"),44361.60912037037)</f>
        <v>44361.60912</v>
      </c>
      <c r="G23" s="84" t="s">
        <v>1187</v>
      </c>
      <c r="H23" s="84" t="s">
        <v>1188</v>
      </c>
      <c r="I23" s="39" t="s">
        <v>16</v>
      </c>
    </row>
    <row r="24">
      <c r="A24" s="5" t="s">
        <v>8</v>
      </c>
      <c r="B24" s="5" t="s">
        <v>1081</v>
      </c>
      <c r="C24" s="76">
        <v>46.0</v>
      </c>
      <c r="D24" s="78" t="b">
        <v>1</v>
      </c>
      <c r="E24" s="87">
        <v>1.62368207E9</v>
      </c>
      <c r="F24" s="64">
        <f>IFERROR(__xludf.DUMMYFUNCTION("INDEX(SPLIT(E24, char(10)), 0, 1)/86400+date(1970,1,1)"),44361.61655092593)</f>
        <v>44361.61655</v>
      </c>
      <c r="G24" s="84" t="s">
        <v>1189</v>
      </c>
      <c r="H24" s="84" t="s">
        <v>1190</v>
      </c>
      <c r="I24" s="39" t="s">
        <v>15</v>
      </c>
    </row>
    <row r="25">
      <c r="A25" s="75" t="s">
        <v>130</v>
      </c>
      <c r="B25" s="72" t="s">
        <v>1074</v>
      </c>
      <c r="C25" s="76">
        <v>52.0</v>
      </c>
      <c r="D25" s="78" t="b">
        <v>1</v>
      </c>
      <c r="E25" s="87">
        <v>1.623682353E9</v>
      </c>
      <c r="F25" s="64">
        <f>IFERROR(__xludf.DUMMYFUNCTION("INDEX(SPLIT(E25, char(10)), 0, 1)/86400+date(1970,1,1)"),44361.61982638889)</f>
        <v>44361.61983</v>
      </c>
      <c r="G25" s="84" t="s">
        <v>1191</v>
      </c>
      <c r="H25" s="84" t="s">
        <v>1192</v>
      </c>
      <c r="I25" s="39" t="s">
        <v>16</v>
      </c>
    </row>
    <row r="26">
      <c r="A26" s="75" t="s">
        <v>8</v>
      </c>
      <c r="B26" s="72" t="s">
        <v>1086</v>
      </c>
      <c r="C26" s="76">
        <v>67.0</v>
      </c>
      <c r="D26" s="78" t="b">
        <v>0</v>
      </c>
      <c r="F26" s="64"/>
      <c r="G26" s="84"/>
      <c r="H26" s="84"/>
      <c r="I26" s="40"/>
    </row>
    <row r="27">
      <c r="A27" s="75" t="s">
        <v>8</v>
      </c>
      <c r="B27" s="72" t="s">
        <v>1089</v>
      </c>
      <c r="C27" s="76">
        <v>67.0</v>
      </c>
      <c r="D27" s="78" t="b">
        <v>1</v>
      </c>
      <c r="F27" s="64"/>
      <c r="G27" s="84"/>
      <c r="H27" s="84"/>
      <c r="I27" s="40"/>
    </row>
    <row r="28">
      <c r="A28" s="75" t="s">
        <v>8</v>
      </c>
      <c r="B28" s="89" t="s">
        <v>1092</v>
      </c>
      <c r="C28" s="76">
        <v>67.0</v>
      </c>
      <c r="D28" s="78" t="b">
        <v>1</v>
      </c>
      <c r="F28" s="64"/>
      <c r="G28" s="84"/>
      <c r="H28" s="84"/>
      <c r="I28" s="40"/>
    </row>
    <row r="29">
      <c r="A29" s="75" t="s">
        <v>8</v>
      </c>
      <c r="B29" s="72" t="s">
        <v>1095</v>
      </c>
      <c r="C29" s="76">
        <v>72.0</v>
      </c>
      <c r="D29" s="78" t="b">
        <v>1</v>
      </c>
      <c r="F29" s="64"/>
      <c r="G29" s="84"/>
      <c r="H29" s="84"/>
      <c r="I29" s="40"/>
    </row>
    <row r="30">
      <c r="A30" s="75" t="s">
        <v>8</v>
      </c>
      <c r="B30" s="72" t="s">
        <v>1098</v>
      </c>
      <c r="C30" s="76">
        <v>72.0</v>
      </c>
      <c r="D30" s="78" t="b">
        <v>0</v>
      </c>
      <c r="F30" s="64"/>
      <c r="G30" s="84"/>
      <c r="H30" s="84"/>
      <c r="I30" s="40"/>
    </row>
    <row r="31">
      <c r="A31" s="75" t="s">
        <v>8</v>
      </c>
      <c r="B31" s="72" t="s">
        <v>1101</v>
      </c>
      <c r="C31" s="76">
        <v>79.0</v>
      </c>
      <c r="D31" s="78" t="b">
        <v>1</v>
      </c>
      <c r="F31" s="64"/>
      <c r="G31" s="84"/>
      <c r="H31" s="84"/>
      <c r="I31" s="40"/>
    </row>
    <row r="32">
      <c r="A32" s="75" t="s">
        <v>8</v>
      </c>
      <c r="B32" s="72" t="s">
        <v>1104</v>
      </c>
      <c r="C32" s="76">
        <v>79.0</v>
      </c>
      <c r="D32" s="78" t="b">
        <v>1</v>
      </c>
      <c r="F32" s="64"/>
      <c r="G32" s="84"/>
      <c r="H32" s="84"/>
      <c r="I32" s="40"/>
    </row>
    <row r="33">
      <c r="A33" s="75" t="s">
        <v>8</v>
      </c>
      <c r="B33" s="72" t="s">
        <v>1107</v>
      </c>
      <c r="C33" s="76">
        <v>87.0</v>
      </c>
      <c r="D33" s="78" t="b">
        <v>0</v>
      </c>
      <c r="F33" s="64"/>
      <c r="G33" s="84"/>
      <c r="H33" s="84"/>
      <c r="I33" s="40"/>
    </row>
    <row r="34">
      <c r="A34" s="75" t="s">
        <v>8</v>
      </c>
      <c r="B34" s="72" t="s">
        <v>1110</v>
      </c>
      <c r="C34" s="76">
        <v>87.0</v>
      </c>
      <c r="D34" s="78" t="b">
        <v>0</v>
      </c>
      <c r="F34" s="64"/>
      <c r="G34" s="84"/>
      <c r="H34" s="84"/>
      <c r="I34" s="40"/>
    </row>
    <row r="35">
      <c r="A35" s="75" t="s">
        <v>7</v>
      </c>
      <c r="B35" s="72" t="s">
        <v>183</v>
      </c>
      <c r="C35" s="76">
        <v>90.0</v>
      </c>
      <c r="D35" s="78" t="b">
        <v>1</v>
      </c>
      <c r="E35" s="82"/>
      <c r="F35" s="64"/>
      <c r="G35" s="81"/>
      <c r="H35" s="84"/>
      <c r="I35" s="40"/>
    </row>
    <row r="36">
      <c r="A36" s="75"/>
      <c r="B36" s="72"/>
      <c r="C36" s="76"/>
      <c r="D36" s="78"/>
      <c r="E36" s="82"/>
      <c r="F36" s="64"/>
      <c r="G36" s="81"/>
      <c r="H36" s="81"/>
      <c r="I36" s="40"/>
    </row>
    <row r="37">
      <c r="A37" s="75"/>
      <c r="B37" s="72"/>
      <c r="C37" s="76"/>
      <c r="D37" s="78"/>
      <c r="E37" s="82"/>
      <c r="F37" s="64"/>
      <c r="G37" s="81"/>
      <c r="H37" s="81"/>
      <c r="I37" s="40"/>
    </row>
    <row r="38">
      <c r="A38" s="75"/>
      <c r="B38" s="72"/>
      <c r="C38" s="76"/>
      <c r="D38" s="78"/>
      <c r="E38" s="82"/>
      <c r="F38" s="64"/>
      <c r="G38" s="81"/>
      <c r="H38" s="81"/>
      <c r="I38" s="40"/>
    </row>
    <row r="39">
      <c r="A39" s="66"/>
      <c r="B39" s="72"/>
      <c r="C39" s="76"/>
      <c r="D39" s="78"/>
      <c r="E39" s="82"/>
      <c r="F39" s="64"/>
      <c r="G39" s="81"/>
      <c r="H39" s="81"/>
      <c r="I39" s="40"/>
    </row>
    <row r="40">
      <c r="A40" s="66"/>
      <c r="B40" s="72"/>
      <c r="C40" s="76"/>
      <c r="D40" s="78"/>
      <c r="E40" s="82"/>
      <c r="F40" s="64"/>
      <c r="G40" s="81"/>
      <c r="H40" s="84"/>
      <c r="I40" s="40"/>
    </row>
    <row r="41">
      <c r="A41" s="75"/>
      <c r="B41" s="72"/>
      <c r="C41" s="76"/>
      <c r="D41" s="78"/>
      <c r="E41" s="82"/>
      <c r="F41" s="64"/>
      <c r="G41" s="81"/>
      <c r="H41" s="81"/>
      <c r="I41" s="40"/>
    </row>
    <row r="42">
      <c r="A42" s="75"/>
      <c r="B42" s="72"/>
      <c r="C42" s="76"/>
      <c r="D42" s="78"/>
      <c r="E42" s="82"/>
      <c r="F42" s="64"/>
      <c r="G42" s="81"/>
      <c r="H42" s="81"/>
      <c r="I42" s="40"/>
    </row>
    <row r="43">
      <c r="F43" s="64"/>
      <c r="G43" s="81"/>
      <c r="H43" s="84"/>
      <c r="I43" s="40"/>
    </row>
    <row r="44">
      <c r="F44" s="64"/>
      <c r="G44" s="81"/>
      <c r="H44" s="81"/>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0.04651162791</v>
      </c>
      <c r="E2" s="39">
        <v>1.62410762E9</v>
      </c>
      <c r="F2" s="64">
        <f>IFERROR(__xludf.DUMMYFUNCTION("INDEX(SPLIT(E2, char(10)), 0, 1)/86400+date(1970,1,1)"),44366.54189814815)</f>
        <v>44366.5419</v>
      </c>
      <c r="G2" s="84" t="s">
        <v>1193</v>
      </c>
      <c r="H2" s="84" t="s">
        <v>1194</v>
      </c>
      <c r="I2" s="39" t="s">
        <v>15</v>
      </c>
      <c r="J2" s="39"/>
    </row>
    <row r="3">
      <c r="A3" s="39" t="s">
        <v>14</v>
      </c>
      <c r="B3" s="39" t="s">
        <v>101</v>
      </c>
      <c r="C3" s="39">
        <f t="shared" si="1"/>
        <v>12</v>
      </c>
      <c r="D3" s="62">
        <f t="shared" si="2"/>
        <v>0.2790697674</v>
      </c>
      <c r="E3" s="39">
        <v>1.624107724E9</v>
      </c>
      <c r="F3" s="64">
        <f>IFERROR(__xludf.DUMMYFUNCTION("INDEX(SPLIT(E3, char(10)), 0, 1)/86400+date(1970,1,1)"),44366.54310185185)</f>
        <v>44366.5431</v>
      </c>
      <c r="G3" s="84" t="s">
        <v>1195</v>
      </c>
      <c r="H3" s="84" t="s">
        <v>1196</v>
      </c>
      <c r="I3" s="39" t="s">
        <v>17</v>
      </c>
      <c r="J3" s="39"/>
    </row>
    <row r="4">
      <c r="A4" s="39" t="s">
        <v>15</v>
      </c>
      <c r="B4" s="39" t="s">
        <v>104</v>
      </c>
      <c r="C4" s="39">
        <f t="shared" si="1"/>
        <v>11</v>
      </c>
      <c r="D4" s="62">
        <f t="shared" si="2"/>
        <v>0.2558139535</v>
      </c>
      <c r="E4" s="39">
        <v>1.624108126E9</v>
      </c>
      <c r="F4" s="64">
        <f>IFERROR(__xludf.DUMMYFUNCTION("INDEX(SPLIT(E4, char(10)), 0, 1)/86400+date(1970,1,1)"),44366.54775462963)</f>
        <v>44366.54775</v>
      </c>
      <c r="G4" s="84" t="s">
        <v>1197</v>
      </c>
      <c r="H4" s="84" t="s">
        <v>1198</v>
      </c>
      <c r="I4" s="39" t="s">
        <v>15</v>
      </c>
      <c r="J4" s="39"/>
    </row>
    <row r="5">
      <c r="A5" s="39" t="s">
        <v>16</v>
      </c>
      <c r="B5" s="39" t="s">
        <v>107</v>
      </c>
      <c r="C5" s="39">
        <f t="shared" si="1"/>
        <v>8</v>
      </c>
      <c r="D5" s="62">
        <f t="shared" si="2"/>
        <v>0.1860465116</v>
      </c>
      <c r="E5" s="39">
        <v>1.624108217E9</v>
      </c>
      <c r="F5" s="64">
        <f>IFERROR(__xludf.DUMMYFUNCTION("INDEX(SPLIT(E5, char(10)), 0, 1)/86400+date(1970,1,1)"),44366.54880787037)</f>
        <v>44366.54881</v>
      </c>
      <c r="G5" s="84" t="s">
        <v>941</v>
      </c>
      <c r="H5" s="84" t="s">
        <v>1199</v>
      </c>
      <c r="I5" s="39" t="s">
        <v>16</v>
      </c>
      <c r="J5" s="39"/>
    </row>
    <row r="6">
      <c r="A6" s="39" t="s">
        <v>17</v>
      </c>
      <c r="B6" s="39" t="s">
        <v>110</v>
      </c>
      <c r="C6" s="39">
        <f t="shared" si="1"/>
        <v>10</v>
      </c>
      <c r="D6" s="62">
        <f t="shared" si="2"/>
        <v>0.2325581395</v>
      </c>
      <c r="E6" s="39">
        <v>1.624108428E9</v>
      </c>
      <c r="F6" s="64">
        <f>IFERROR(__xludf.DUMMYFUNCTION("INDEX(SPLIT(E6, char(10)), 0, 1)/86400+date(1970,1,1)"),44366.551250000004)</f>
        <v>44366.55125</v>
      </c>
      <c r="G6" s="84" t="s">
        <v>1200</v>
      </c>
      <c r="H6" s="84" t="s">
        <v>1201</v>
      </c>
      <c r="I6" s="39" t="s">
        <v>17</v>
      </c>
    </row>
    <row r="7">
      <c r="B7" s="39" t="s">
        <v>13</v>
      </c>
      <c r="C7" s="67">
        <f t="shared" ref="C7:D7" si="3">SUM(C2:C6)</f>
        <v>43</v>
      </c>
      <c r="D7" s="68">
        <f t="shared" si="3"/>
        <v>1</v>
      </c>
      <c r="E7" s="39">
        <v>1.624108647E9</v>
      </c>
      <c r="F7" s="64">
        <f>IFERROR(__xludf.DUMMYFUNCTION("INDEX(SPLIT(E7, char(10)), 0, 1)/86400+date(1970,1,1)"),44366.55378472222)</f>
        <v>44366.55378</v>
      </c>
      <c r="G7" s="84" t="s">
        <v>1202</v>
      </c>
      <c r="H7" s="84" t="s">
        <v>1203</v>
      </c>
      <c r="I7" s="39" t="s">
        <v>17</v>
      </c>
    </row>
    <row r="8">
      <c r="A8" s="69"/>
      <c r="B8" s="39" t="s">
        <v>18</v>
      </c>
      <c r="C8" s="55">
        <f t="shared" ref="C8:D8" si="4">SUM(C5:C6)</f>
        <v>18</v>
      </c>
      <c r="D8" s="13">
        <f t="shared" si="4"/>
        <v>0.4186046512</v>
      </c>
      <c r="E8" s="39">
        <v>1.624108769E9</v>
      </c>
      <c r="F8" s="64">
        <f>IFERROR(__xludf.DUMMYFUNCTION("INDEX(SPLIT(E8, char(10)), 0, 1)/86400+date(1970,1,1)"),44366.55519675926)</f>
        <v>44366.5552</v>
      </c>
      <c r="G8" s="84" t="s">
        <v>1204</v>
      </c>
      <c r="H8" s="84" t="s">
        <v>1205</v>
      </c>
      <c r="I8" s="39" t="s">
        <v>14</v>
      </c>
    </row>
    <row r="9">
      <c r="A9" s="69"/>
      <c r="B9" s="39" t="s">
        <v>47</v>
      </c>
      <c r="C9" s="55">
        <f>SUM(C6:C7)</f>
        <v>53</v>
      </c>
      <c r="D9" s="13">
        <f>SUM(D5:D6) + D2</f>
        <v>0.4651162791</v>
      </c>
      <c r="E9" s="39">
        <v>1.624108992E9</v>
      </c>
      <c r="F9" s="64">
        <f>IFERROR(__xludf.DUMMYFUNCTION("INDEX(SPLIT(E9, char(10)), 0, 1)/86400+date(1970,1,1)"),44366.55777777778)</f>
        <v>44366.55778</v>
      </c>
      <c r="G9" s="84" t="s">
        <v>1206</v>
      </c>
      <c r="H9" s="84" t="s">
        <v>1207</v>
      </c>
      <c r="I9" s="39" t="s">
        <v>14</v>
      </c>
    </row>
    <row r="10">
      <c r="A10" s="69"/>
      <c r="B10" s="69"/>
      <c r="C10" s="69"/>
      <c r="D10" s="69"/>
      <c r="E10" s="39">
        <v>1.624109146E9</v>
      </c>
      <c r="F10" s="64">
        <f>IFERROR(__xludf.DUMMYFUNCTION("INDEX(SPLIT(E10, char(10)), 0, 1)/86400+date(1970,1,1)"),44366.55956018518)</f>
        <v>44366.55956</v>
      </c>
      <c r="G10" s="84" t="s">
        <v>1208</v>
      </c>
      <c r="H10" s="84" t="s">
        <v>1209</v>
      </c>
      <c r="I10" s="39" t="s">
        <v>16</v>
      </c>
    </row>
    <row r="11">
      <c r="A11" s="69"/>
      <c r="B11" s="69"/>
      <c r="C11" s="69"/>
      <c r="D11" s="69"/>
      <c r="E11" s="39">
        <v>1.624109435E9</v>
      </c>
      <c r="F11" s="64">
        <f>IFERROR(__xludf.DUMMYFUNCTION("INDEX(SPLIT(E11, char(10)), 0, 1)/86400+date(1970,1,1)"),44366.56290509259)</f>
        <v>44366.56291</v>
      </c>
      <c r="G11" s="84" t="s">
        <v>1210</v>
      </c>
      <c r="H11" s="84" t="s">
        <v>1211</v>
      </c>
      <c r="I11" s="39" t="s">
        <v>14</v>
      </c>
    </row>
    <row r="12">
      <c r="A12" s="70" t="s">
        <v>123</v>
      </c>
      <c r="B12" s="88" t="s">
        <v>1212</v>
      </c>
      <c r="C12" s="86"/>
      <c r="D12" s="72"/>
      <c r="E12" s="39">
        <v>1.624109525E9</v>
      </c>
      <c r="F12" s="64">
        <f>IFERROR(__xludf.DUMMYFUNCTION("INDEX(SPLIT(E12, char(10)), 0, 1)/86400+date(1970,1,1)"),44366.563946759255)</f>
        <v>44366.56395</v>
      </c>
      <c r="G12" s="84" t="s">
        <v>1213</v>
      </c>
      <c r="H12" s="84" t="s">
        <v>1214</v>
      </c>
      <c r="I12" s="39" t="s">
        <v>17</v>
      </c>
    </row>
    <row r="13">
      <c r="A13" s="70" t="s">
        <v>127</v>
      </c>
      <c r="B13" s="72"/>
      <c r="C13" s="70" t="s">
        <v>91</v>
      </c>
      <c r="D13" s="70" t="s">
        <v>92</v>
      </c>
      <c r="E13" s="39">
        <v>1.624109625E9</v>
      </c>
      <c r="F13" s="64">
        <f>IFERROR(__xludf.DUMMYFUNCTION("INDEX(SPLIT(E13, char(10)), 0, 1)/86400+date(1970,1,1)"),44366.56510416667)</f>
        <v>44366.5651</v>
      </c>
      <c r="G13" s="84" t="s">
        <v>1215</v>
      </c>
      <c r="H13" s="84" t="s">
        <v>1216</v>
      </c>
      <c r="I13" s="39" t="s">
        <v>14</v>
      </c>
    </row>
    <row r="14">
      <c r="A14" s="5" t="s">
        <v>130</v>
      </c>
      <c r="B14" s="5" t="s">
        <v>131</v>
      </c>
      <c r="C14" s="73">
        <f t="shared" ref="C14:C17" si="5">COUNTIF($A$19:$A1000, A14)</f>
        <v>2</v>
      </c>
      <c r="D14" s="74">
        <f>IFERROR(__xludf.DUMMYFUNCTION("IF(C14, COUNTIF(FILTER($D$19:$D1000, $A$19:$A1000=A14), TRUE)/C14, 0)"),1.0)</f>
        <v>1</v>
      </c>
      <c r="E14" s="39">
        <v>1.624109753E9</v>
      </c>
      <c r="F14" s="64">
        <f>IFERROR(__xludf.DUMMYFUNCTION("INDEX(SPLIT(E14, char(10)), 0, 1)/86400+date(1970,1,1)"),44366.56658564815)</f>
        <v>44366.56659</v>
      </c>
      <c r="G14" s="84" t="s">
        <v>1217</v>
      </c>
      <c r="H14" s="84" t="s">
        <v>1218</v>
      </c>
      <c r="I14" s="39" t="s">
        <v>15</v>
      </c>
    </row>
    <row r="15">
      <c r="A15" s="5" t="s">
        <v>6</v>
      </c>
      <c r="B15" s="5" t="s">
        <v>134</v>
      </c>
      <c r="C15" s="73">
        <f t="shared" si="5"/>
        <v>2</v>
      </c>
      <c r="D15" s="74">
        <f>IFERROR(__xludf.DUMMYFUNCTION("IF(C15, COUNTIF(FILTER($D$19:$D1000, $A$19:$A1000=A15), TRUE)/C15, 0)"),0.5)</f>
        <v>0.5</v>
      </c>
      <c r="E15" s="39">
        <v>1.624109889E9</v>
      </c>
      <c r="F15" s="64">
        <f>IFERROR(__xludf.DUMMYFUNCTION("INDEX(SPLIT(E15, char(10)), 0, 1)/86400+date(1970,1,1)"),44366.56815972222)</f>
        <v>44366.56816</v>
      </c>
      <c r="G15" s="84" t="s">
        <v>1219</v>
      </c>
      <c r="H15" s="84" t="s">
        <v>1220</v>
      </c>
      <c r="I15" s="39" t="s">
        <v>15</v>
      </c>
    </row>
    <row r="16">
      <c r="A16" s="5" t="s">
        <v>7</v>
      </c>
      <c r="B16" s="5" t="s">
        <v>137</v>
      </c>
      <c r="C16" s="73">
        <f t="shared" si="5"/>
        <v>4</v>
      </c>
      <c r="D16" s="74">
        <f>IFERROR(__xludf.DUMMYFUNCTION("IF(C16, COUNTIF(FILTER($D$19:$D1000, $A$19:$A1000=A16), TRUE)/C16, 0)"),0.25)</f>
        <v>0.25</v>
      </c>
      <c r="E16" s="39">
        <v>1.62411021E9</v>
      </c>
      <c r="F16" s="64">
        <f>IFERROR(__xludf.DUMMYFUNCTION("INDEX(SPLIT(E16, char(10)), 0, 1)/86400+date(1970,1,1)"),44366.571875)</f>
        <v>44366.57188</v>
      </c>
      <c r="G16" s="84" t="s">
        <v>1221</v>
      </c>
      <c r="H16" s="84" t="s">
        <v>1222</v>
      </c>
      <c r="I16" s="39" t="s">
        <v>15</v>
      </c>
    </row>
    <row r="17">
      <c r="A17" s="5" t="s">
        <v>8</v>
      </c>
      <c r="B17" s="5" t="s">
        <v>79</v>
      </c>
      <c r="C17" s="73">
        <f t="shared" si="5"/>
        <v>7</v>
      </c>
      <c r="D17" s="74">
        <f>IFERROR(__xludf.DUMMYFUNCTION("IF(C17, COUNTIF(FILTER($D$19:$D1000, $A$19:$A1000=A17), TRUE)/C17, 0)"),0.7142857142857143)</f>
        <v>0.7142857143</v>
      </c>
      <c r="E17" s="39">
        <v>1.624110416E9</v>
      </c>
      <c r="F17" s="64">
        <f>IFERROR(__xludf.DUMMYFUNCTION("INDEX(SPLIT(E17, char(10)), 0, 1)/86400+date(1970,1,1)"),44366.57425925926)</f>
        <v>44366.57426</v>
      </c>
      <c r="G17" s="84" t="s">
        <v>1223</v>
      </c>
      <c r="H17" s="84" t="s">
        <v>1224</v>
      </c>
      <c r="I17" s="39" t="s">
        <v>16</v>
      </c>
    </row>
    <row r="18">
      <c r="A18" s="72"/>
      <c r="B18" s="70" t="s">
        <v>9</v>
      </c>
      <c r="C18" s="73">
        <f>SUM(C14:C17)</f>
        <v>15</v>
      </c>
      <c r="D18" s="74">
        <f>COUNTIF($D$19:$D1000, TRUE)/SUM($C$14:$C$17)</f>
        <v>0.6</v>
      </c>
      <c r="E18" s="39">
        <v>1.624110507E9</v>
      </c>
      <c r="F18" s="64">
        <f>IFERROR(__xludf.DUMMYFUNCTION("INDEX(SPLIT(E18, char(10)), 0, 1)/86400+date(1970,1,1)"),44366.575312500005)</f>
        <v>44366.57531</v>
      </c>
      <c r="G18" s="84" t="s">
        <v>1225</v>
      </c>
      <c r="H18" s="84" t="s">
        <v>1226</v>
      </c>
      <c r="I18" s="39" t="s">
        <v>17</v>
      </c>
    </row>
    <row r="19">
      <c r="A19" s="70" t="s">
        <v>97</v>
      </c>
      <c r="B19" s="70" t="s">
        <v>144</v>
      </c>
      <c r="C19" s="70" t="s">
        <v>145</v>
      </c>
      <c r="D19" s="70" t="s">
        <v>146</v>
      </c>
      <c r="E19" s="39">
        <v>1.624110609E9</v>
      </c>
      <c r="F19" s="64">
        <f>IFERROR(__xludf.DUMMYFUNCTION("INDEX(SPLIT(E19, char(10)), 0, 1)/86400+date(1970,1,1)"),44366.57649305556)</f>
        <v>44366.57649</v>
      </c>
      <c r="G19" s="84" t="s">
        <v>1227</v>
      </c>
      <c r="H19" s="84" t="s">
        <v>1228</v>
      </c>
      <c r="I19" s="39" t="s">
        <v>14</v>
      </c>
    </row>
    <row r="20">
      <c r="A20" s="75" t="s">
        <v>7</v>
      </c>
      <c r="B20" s="75" t="s">
        <v>149</v>
      </c>
      <c r="C20" s="76">
        <v>1.0</v>
      </c>
      <c r="D20" s="78" t="b">
        <v>0</v>
      </c>
      <c r="E20" s="39">
        <v>1.624110699E9</v>
      </c>
      <c r="F20" s="64">
        <f>IFERROR(__xludf.DUMMYFUNCTION("INDEX(SPLIT(E20, char(10)), 0, 1)/86400+date(1970,1,1)"),44366.57753472222)</f>
        <v>44366.57753</v>
      </c>
      <c r="G20" s="84" t="s">
        <v>1229</v>
      </c>
      <c r="H20" s="84" t="s">
        <v>1230</v>
      </c>
      <c r="I20" s="39" t="s">
        <v>14</v>
      </c>
    </row>
    <row r="21">
      <c r="A21" s="75" t="s">
        <v>6</v>
      </c>
      <c r="B21" s="75" t="s">
        <v>1231</v>
      </c>
      <c r="C21" s="76">
        <v>10.0</v>
      </c>
      <c r="D21" s="78" t="b">
        <v>1</v>
      </c>
      <c r="E21" s="39">
        <v>1.624110818E9</v>
      </c>
      <c r="F21" s="64">
        <f>IFERROR(__xludf.DUMMYFUNCTION("INDEX(SPLIT(E21, char(10)), 0, 1)/86400+date(1970,1,1)"),44366.57891203703)</f>
        <v>44366.57891</v>
      </c>
      <c r="G21" s="84" t="s">
        <v>1232</v>
      </c>
      <c r="H21" s="84" t="s">
        <v>1233</v>
      </c>
      <c r="I21" s="39" t="s">
        <v>15</v>
      </c>
    </row>
    <row r="22">
      <c r="A22" s="75" t="s">
        <v>8</v>
      </c>
      <c r="B22" s="75" t="s">
        <v>1234</v>
      </c>
      <c r="C22" s="76">
        <v>26.0</v>
      </c>
      <c r="D22" s="78" t="b">
        <v>1</v>
      </c>
      <c r="E22" s="39">
        <v>1.62411104E9</v>
      </c>
      <c r="F22" s="64">
        <f>IFERROR(__xludf.DUMMYFUNCTION("INDEX(SPLIT(E22, char(10)), 0, 1)/86400+date(1970,1,1)"),44366.58148148148)</f>
        <v>44366.58148</v>
      </c>
      <c r="G22" s="84" t="s">
        <v>1235</v>
      </c>
      <c r="H22" s="84" t="s">
        <v>1236</v>
      </c>
      <c r="I22" s="39" t="s">
        <v>14</v>
      </c>
    </row>
    <row r="23">
      <c r="A23" s="75" t="s">
        <v>130</v>
      </c>
      <c r="B23" s="75" t="s">
        <v>1237</v>
      </c>
      <c r="C23" s="76">
        <v>45.0</v>
      </c>
      <c r="D23" s="78" t="b">
        <v>1</v>
      </c>
      <c r="E23" s="39">
        <v>1.624111553E9</v>
      </c>
      <c r="F23" s="64">
        <f>IFERROR(__xludf.DUMMYFUNCTION("INDEX(SPLIT(E23, char(10)), 0, 1)/86400+date(1970,1,1)"),44366.58741898148)</f>
        <v>44366.58742</v>
      </c>
      <c r="G23" s="84" t="s">
        <v>1238</v>
      </c>
      <c r="H23" s="84" t="s">
        <v>1239</v>
      </c>
      <c r="I23" s="39" t="s">
        <v>15</v>
      </c>
    </row>
    <row r="24">
      <c r="A24" s="5" t="s">
        <v>7</v>
      </c>
      <c r="B24" s="5" t="s">
        <v>155</v>
      </c>
      <c r="C24" s="76">
        <v>45.0</v>
      </c>
      <c r="D24" s="78" t="b">
        <v>0</v>
      </c>
      <c r="E24" s="39">
        <v>1.624111705E9</v>
      </c>
      <c r="F24" s="64">
        <f>IFERROR(__xludf.DUMMYFUNCTION("INDEX(SPLIT(E24, char(10)), 0, 1)/86400+date(1970,1,1)"),44366.58917824074)</f>
        <v>44366.58918</v>
      </c>
      <c r="G24" s="84" t="s">
        <v>1240</v>
      </c>
      <c r="H24" s="84" t="s">
        <v>1241</v>
      </c>
      <c r="I24" s="39" t="s">
        <v>75</v>
      </c>
    </row>
    <row r="25">
      <c r="A25" s="75" t="s">
        <v>7</v>
      </c>
      <c r="B25" s="72" t="s">
        <v>158</v>
      </c>
      <c r="C25" s="76">
        <v>46.0</v>
      </c>
      <c r="D25" s="78" t="b">
        <v>0</v>
      </c>
      <c r="E25" s="39">
        <v>1.6241118E9</v>
      </c>
      <c r="F25" s="64">
        <f>IFERROR(__xludf.DUMMYFUNCTION("INDEX(SPLIT(E25, char(10)), 0, 1)/86400+date(1970,1,1)"),44366.59027777778)</f>
        <v>44366.59028</v>
      </c>
      <c r="G25" s="84" t="s">
        <v>1242</v>
      </c>
      <c r="H25" s="84" t="s">
        <v>1243</v>
      </c>
      <c r="I25" s="39" t="s">
        <v>15</v>
      </c>
    </row>
    <row r="26">
      <c r="A26" s="75" t="s">
        <v>6</v>
      </c>
      <c r="B26" s="72" t="s">
        <v>1244</v>
      </c>
      <c r="C26" s="76">
        <v>52.0</v>
      </c>
      <c r="D26" s="78" t="b">
        <v>0</v>
      </c>
      <c r="E26" s="39">
        <v>1.624111961E9</v>
      </c>
      <c r="F26" s="64">
        <f>IFERROR(__xludf.DUMMYFUNCTION("INDEX(SPLIT(E26, char(10)), 0, 1)/86400+date(1970,1,1)"),44366.5921412037)</f>
        <v>44366.59214</v>
      </c>
      <c r="G26" s="84" t="s">
        <v>1245</v>
      </c>
      <c r="H26" s="84" t="s">
        <v>1246</v>
      </c>
      <c r="I26" s="39" t="s">
        <v>14</v>
      </c>
    </row>
    <row r="27">
      <c r="A27" s="75" t="s">
        <v>8</v>
      </c>
      <c r="B27" s="72" t="s">
        <v>1247</v>
      </c>
      <c r="C27" s="76">
        <v>57.0</v>
      </c>
      <c r="D27" s="78" t="b">
        <v>1</v>
      </c>
      <c r="E27" s="39">
        <v>1.624112223E9</v>
      </c>
      <c r="F27" s="64">
        <f>IFERROR(__xludf.DUMMYFUNCTION("INDEX(SPLIT(E27, char(10)), 0, 1)/86400+date(1970,1,1)"),44366.59517361112)</f>
        <v>44366.59517</v>
      </c>
      <c r="G27" s="84" t="s">
        <v>1248</v>
      </c>
      <c r="H27" s="84" t="s">
        <v>1249</v>
      </c>
      <c r="I27" s="39" t="s">
        <v>16</v>
      </c>
    </row>
    <row r="28">
      <c r="A28" s="75" t="s">
        <v>130</v>
      </c>
      <c r="B28" s="72" t="s">
        <v>1250</v>
      </c>
      <c r="C28" s="76">
        <v>66.0</v>
      </c>
      <c r="D28" s="78" t="b">
        <v>1</v>
      </c>
      <c r="E28" s="39">
        <v>1.624112322E9</v>
      </c>
      <c r="F28" s="64">
        <f>IFERROR(__xludf.DUMMYFUNCTION("INDEX(SPLIT(E28, char(10)), 0, 1)/86400+date(1970,1,1)"),44366.59631944445)</f>
        <v>44366.59632</v>
      </c>
      <c r="G28" s="84" t="s">
        <v>1251</v>
      </c>
      <c r="H28" s="84" t="s">
        <v>1252</v>
      </c>
      <c r="I28" s="39" t="s">
        <v>15</v>
      </c>
    </row>
    <row r="29">
      <c r="A29" s="75" t="s">
        <v>8</v>
      </c>
      <c r="B29" s="72" t="s">
        <v>1253</v>
      </c>
      <c r="C29" s="76">
        <v>75.0</v>
      </c>
      <c r="D29" s="78" t="b">
        <v>0</v>
      </c>
      <c r="E29" s="39">
        <v>1.624112448E9</v>
      </c>
      <c r="F29" s="64">
        <f>IFERROR(__xludf.DUMMYFUNCTION("INDEX(SPLIT(E29, char(10)), 0, 1)/86400+date(1970,1,1)"),44366.59777777777)</f>
        <v>44366.59778</v>
      </c>
      <c r="G29" s="84" t="s">
        <v>1254</v>
      </c>
      <c r="H29" s="84" t="s">
        <v>1255</v>
      </c>
      <c r="I29" s="39" t="s">
        <v>15</v>
      </c>
    </row>
    <row r="30">
      <c r="A30" s="75" t="s">
        <v>8</v>
      </c>
      <c r="B30" s="72" t="s">
        <v>1256</v>
      </c>
      <c r="C30" s="76">
        <v>76.0</v>
      </c>
      <c r="D30" s="78" t="b">
        <v>1</v>
      </c>
      <c r="E30" s="39">
        <v>1.624112642E9</v>
      </c>
      <c r="F30" s="64">
        <f>IFERROR(__xludf.DUMMYFUNCTION("INDEX(SPLIT(E30, char(10)), 0, 1)/86400+date(1970,1,1)"),44366.600023148145)</f>
        <v>44366.60002</v>
      </c>
      <c r="G30" s="84" t="s">
        <v>1257</v>
      </c>
      <c r="H30" s="84" t="s">
        <v>1258</v>
      </c>
      <c r="I30" s="39" t="s">
        <v>14</v>
      </c>
    </row>
    <row r="31">
      <c r="A31" s="75" t="s">
        <v>8</v>
      </c>
      <c r="B31" s="72" t="s">
        <v>1259</v>
      </c>
      <c r="C31" s="76">
        <v>76.0</v>
      </c>
      <c r="D31" s="78" t="b">
        <v>1</v>
      </c>
      <c r="E31" s="39">
        <v>1.624112796E9</v>
      </c>
      <c r="F31" s="64">
        <f>IFERROR(__xludf.DUMMYFUNCTION("INDEX(SPLIT(E31, char(10)), 0, 1)/86400+date(1970,1,1)"),44366.601805555554)</f>
        <v>44366.60181</v>
      </c>
      <c r="G31" s="84" t="s">
        <v>1260</v>
      </c>
      <c r="H31" s="84" t="s">
        <v>1261</v>
      </c>
      <c r="I31" s="39" t="s">
        <v>16</v>
      </c>
    </row>
    <row r="32">
      <c r="A32" s="75" t="s">
        <v>8</v>
      </c>
      <c r="B32" s="72" t="s">
        <v>1262</v>
      </c>
      <c r="C32" s="76">
        <v>84.0</v>
      </c>
      <c r="D32" s="78" t="b">
        <v>0</v>
      </c>
      <c r="E32" s="39">
        <v>1.624112886E9</v>
      </c>
      <c r="F32" s="64">
        <f>IFERROR(__xludf.DUMMYFUNCTION("INDEX(SPLIT(E32, char(10)), 0, 1)/86400+date(1970,1,1)"),44366.602847222224)</f>
        <v>44366.60285</v>
      </c>
      <c r="G32" s="84" t="s">
        <v>1263</v>
      </c>
      <c r="H32" s="84" t="s">
        <v>1264</v>
      </c>
      <c r="I32" s="39" t="s">
        <v>17</v>
      </c>
    </row>
    <row r="33">
      <c r="A33" s="75" t="s">
        <v>8</v>
      </c>
      <c r="B33" s="72" t="s">
        <v>1265</v>
      </c>
      <c r="C33" s="76">
        <v>87.0</v>
      </c>
      <c r="D33" s="78" t="b">
        <v>1</v>
      </c>
      <c r="E33" s="39">
        <v>1.624113028E9</v>
      </c>
      <c r="F33" s="64">
        <f>IFERROR(__xludf.DUMMYFUNCTION("INDEX(SPLIT(E33, char(10)), 0, 1)/86400+date(1970,1,1)"),44366.60449074074)</f>
        <v>44366.60449</v>
      </c>
      <c r="G33" s="84" t="s">
        <v>1266</v>
      </c>
      <c r="H33" s="84" t="s">
        <v>1267</v>
      </c>
      <c r="I33" s="39" t="s">
        <v>14</v>
      </c>
    </row>
    <row r="34">
      <c r="A34" s="75" t="s">
        <v>7</v>
      </c>
      <c r="B34" s="72" t="s">
        <v>183</v>
      </c>
      <c r="C34" s="76">
        <v>90.0</v>
      </c>
      <c r="D34" s="78" t="b">
        <v>1</v>
      </c>
      <c r="E34" s="39">
        <v>1.624113146E9</v>
      </c>
      <c r="F34" s="64">
        <f>IFERROR(__xludf.DUMMYFUNCTION("INDEX(SPLIT(E34, char(10)), 0, 1)/86400+date(1970,1,1)"),44366.60585648148)</f>
        <v>44366.60586</v>
      </c>
      <c r="G34" s="84" t="s">
        <v>1268</v>
      </c>
      <c r="H34" s="84" t="s">
        <v>1269</v>
      </c>
      <c r="I34" s="39" t="s">
        <v>14</v>
      </c>
    </row>
    <row r="35">
      <c r="A35" s="75"/>
      <c r="B35" s="72"/>
      <c r="C35" s="76"/>
      <c r="D35" s="78"/>
      <c r="E35" s="39">
        <v>1.624113346E9</v>
      </c>
      <c r="F35" s="64">
        <f>IFERROR(__xludf.DUMMYFUNCTION("INDEX(SPLIT(E35, char(10)), 0, 1)/86400+date(1970,1,1)"),44366.60817129629)</f>
        <v>44366.60817</v>
      </c>
      <c r="G35" s="84" t="s">
        <v>1270</v>
      </c>
      <c r="H35" s="84" t="s">
        <v>1271</v>
      </c>
      <c r="I35" s="39" t="s">
        <v>16</v>
      </c>
    </row>
    <row r="36">
      <c r="A36" s="75"/>
      <c r="B36" s="72"/>
      <c r="C36" s="76"/>
      <c r="D36" s="78"/>
      <c r="E36" s="39">
        <v>1.624113474E9</v>
      </c>
      <c r="F36" s="64">
        <f>IFERROR(__xludf.DUMMYFUNCTION("INDEX(SPLIT(E36, char(10)), 0, 1)/86400+date(1970,1,1)"),44366.60965277778)</f>
        <v>44366.60965</v>
      </c>
      <c r="G36" s="84" t="s">
        <v>1272</v>
      </c>
      <c r="H36" s="84" t="s">
        <v>1273</v>
      </c>
      <c r="I36" s="39" t="s">
        <v>14</v>
      </c>
    </row>
    <row r="37">
      <c r="A37" s="75"/>
      <c r="B37" s="72"/>
      <c r="C37" s="76"/>
      <c r="D37" s="78"/>
      <c r="E37" s="39">
        <v>1.624113604E9</v>
      </c>
      <c r="F37" s="64">
        <f>IFERROR(__xludf.DUMMYFUNCTION("INDEX(SPLIT(E37, char(10)), 0, 1)/86400+date(1970,1,1)"),44366.6111574074)</f>
        <v>44366.61116</v>
      </c>
      <c r="G37" s="84" t="s">
        <v>1274</v>
      </c>
      <c r="H37" s="84" t="s">
        <v>1275</v>
      </c>
      <c r="I37" s="39" t="s">
        <v>17</v>
      </c>
    </row>
    <row r="38">
      <c r="A38" s="75"/>
      <c r="B38" s="72"/>
      <c r="C38" s="76"/>
      <c r="D38" s="78"/>
      <c r="E38" s="39">
        <v>1.624113717E9</v>
      </c>
      <c r="F38" s="64">
        <f>IFERROR(__xludf.DUMMYFUNCTION("INDEX(SPLIT(E38, char(10)), 0, 1)/86400+date(1970,1,1)"),44366.61246527778)</f>
        <v>44366.61247</v>
      </c>
      <c r="G38" s="84" t="s">
        <v>1276</v>
      </c>
      <c r="H38" s="84" t="s">
        <v>1277</v>
      </c>
      <c r="I38" s="39" t="s">
        <v>17</v>
      </c>
    </row>
    <row r="39">
      <c r="A39" s="66"/>
      <c r="B39" s="72"/>
      <c r="C39" s="76"/>
      <c r="D39" s="78"/>
      <c r="E39" s="39">
        <v>1.624113809E9</v>
      </c>
      <c r="F39" s="64">
        <f>IFERROR(__xludf.DUMMYFUNCTION("INDEX(SPLIT(E39, char(10)), 0, 1)/86400+date(1970,1,1)"),44366.613530092596)</f>
        <v>44366.61353</v>
      </c>
      <c r="G39" s="84" t="s">
        <v>1278</v>
      </c>
      <c r="H39" s="84" t="s">
        <v>1279</v>
      </c>
      <c r="I39" s="39" t="s">
        <v>75</v>
      </c>
    </row>
    <row r="40">
      <c r="A40" s="66"/>
      <c r="B40" s="72"/>
      <c r="C40" s="76"/>
      <c r="D40" s="78"/>
      <c r="E40" s="39">
        <v>1.624113925E9</v>
      </c>
      <c r="F40" s="64">
        <f>IFERROR(__xludf.DUMMYFUNCTION("INDEX(SPLIT(E40, char(10)), 0, 1)/86400+date(1970,1,1)"),44366.61487268518)</f>
        <v>44366.61487</v>
      </c>
      <c r="G40" s="84" t="s">
        <v>1280</v>
      </c>
      <c r="H40" s="84" t="s">
        <v>1281</v>
      </c>
      <c r="I40" s="39" t="s">
        <v>17</v>
      </c>
    </row>
    <row r="41">
      <c r="A41" s="75"/>
      <c r="B41" s="72"/>
      <c r="C41" s="76"/>
      <c r="D41" s="78"/>
      <c r="E41" s="39">
        <v>1.624114035E9</v>
      </c>
      <c r="F41" s="64">
        <f>IFERROR(__xludf.DUMMYFUNCTION("INDEX(SPLIT(E41, char(10)), 0, 1)/86400+date(1970,1,1)"),44366.61614583334)</f>
        <v>44366.61615</v>
      </c>
      <c r="G41" s="84" t="s">
        <v>1282</v>
      </c>
      <c r="H41" s="84" t="s">
        <v>1283</v>
      </c>
      <c r="I41" s="39" t="s">
        <v>16</v>
      </c>
    </row>
    <row r="42">
      <c r="A42" s="75"/>
      <c r="B42" s="72"/>
      <c r="C42" s="76"/>
      <c r="D42" s="78"/>
      <c r="E42" s="39">
        <v>1.62411428E9</v>
      </c>
      <c r="F42" s="64">
        <f>IFERROR(__xludf.DUMMYFUNCTION("INDEX(SPLIT(E42, char(10)), 0, 1)/86400+date(1970,1,1)"),44366.618981481486)</f>
        <v>44366.61898</v>
      </c>
      <c r="G42" s="84" t="s">
        <v>1284</v>
      </c>
      <c r="H42" s="84" t="s">
        <v>1285</v>
      </c>
      <c r="I42" s="39" t="s">
        <v>15</v>
      </c>
    </row>
    <row r="43">
      <c r="A43" s="69"/>
      <c r="B43" s="69"/>
      <c r="C43" s="69"/>
      <c r="D43" s="69"/>
      <c r="E43" s="39">
        <v>1.624114423E9</v>
      </c>
      <c r="F43" s="64">
        <f>IFERROR(__xludf.DUMMYFUNCTION("INDEX(SPLIT(E43, char(10)), 0, 1)/86400+date(1970,1,1)"),44366.62063657407)</f>
        <v>44366.62064</v>
      </c>
      <c r="G43" s="84" t="s">
        <v>1286</v>
      </c>
      <c r="H43" s="84" t="s">
        <v>1287</v>
      </c>
      <c r="I43" s="39" t="s">
        <v>17</v>
      </c>
    </row>
    <row r="44">
      <c r="A44" s="69"/>
      <c r="B44" s="69"/>
      <c r="C44" s="69"/>
      <c r="D44" s="69"/>
      <c r="E44" s="39">
        <v>1.624114539E9</v>
      </c>
      <c r="F44" s="64">
        <f>IFERROR(__xludf.DUMMYFUNCTION("INDEX(SPLIT(E44, char(10)), 0, 1)/86400+date(1970,1,1)"),44366.621979166666)</f>
        <v>44366.62198</v>
      </c>
      <c r="G44" s="84" t="s">
        <v>1288</v>
      </c>
      <c r="H44" s="84" t="s">
        <v>1289</v>
      </c>
      <c r="I44" s="39" t="s">
        <v>16</v>
      </c>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1</v>
      </c>
      <c r="D2" s="62">
        <f t="shared" ref="D2:D6" si="2">C2/COUNTA(I$2:I1000)</f>
        <v>0.04166666667</v>
      </c>
      <c r="E2" s="87">
        <v>1.624108217E9</v>
      </c>
      <c r="F2" s="64">
        <f>IFERROR(__xludf.DUMMYFUNCTION("INDEX(SPLIT(E2, char(10)), 0, 1)/86400+date(1970,1,1)"),44366.54880787037)</f>
        <v>44366.54881</v>
      </c>
      <c r="G2" s="90" t="s">
        <v>941</v>
      </c>
      <c r="H2" s="90" t="s">
        <v>1199</v>
      </c>
      <c r="I2" s="39" t="s">
        <v>16</v>
      </c>
      <c r="J2" s="39"/>
    </row>
    <row r="3">
      <c r="A3" s="39" t="s">
        <v>14</v>
      </c>
      <c r="B3" s="39" t="s">
        <v>101</v>
      </c>
      <c r="C3" s="39">
        <f t="shared" si="1"/>
        <v>3</v>
      </c>
      <c r="D3" s="62">
        <f t="shared" si="2"/>
        <v>0.125</v>
      </c>
      <c r="E3" s="87">
        <v>1.624108424E9</v>
      </c>
      <c r="F3" s="64">
        <f>IFERROR(__xludf.DUMMYFUNCTION("INDEX(SPLIT(E3, char(10)), 0, 1)/86400+date(1970,1,1)"),44366.551203703704)</f>
        <v>44366.5512</v>
      </c>
      <c r="G3" s="90" t="s">
        <v>1290</v>
      </c>
      <c r="H3" s="90" t="s">
        <v>1291</v>
      </c>
      <c r="I3" s="39" t="s">
        <v>17</v>
      </c>
      <c r="J3" s="39"/>
    </row>
    <row r="4">
      <c r="A4" s="39" t="s">
        <v>15</v>
      </c>
      <c r="B4" s="39" t="s">
        <v>104</v>
      </c>
      <c r="C4" s="39">
        <f t="shared" si="1"/>
        <v>3</v>
      </c>
      <c r="D4" s="62">
        <f t="shared" si="2"/>
        <v>0.125</v>
      </c>
      <c r="E4" s="87">
        <v>1.624108646E9</v>
      </c>
      <c r="F4" s="64">
        <f>IFERROR(__xludf.DUMMYFUNCTION("INDEX(SPLIT(E4, char(10)), 0, 1)/86400+date(1970,1,1)"),44366.553773148145)</f>
        <v>44366.55377</v>
      </c>
      <c r="G4" s="90" t="s">
        <v>1292</v>
      </c>
      <c r="H4" s="90" t="s">
        <v>1293</v>
      </c>
      <c r="I4" s="39" t="s">
        <v>17</v>
      </c>
      <c r="J4" s="39"/>
    </row>
    <row r="5">
      <c r="A5" s="39" t="s">
        <v>16</v>
      </c>
      <c r="B5" s="39" t="s">
        <v>107</v>
      </c>
      <c r="C5" s="39">
        <f t="shared" si="1"/>
        <v>6</v>
      </c>
      <c r="D5" s="62">
        <f t="shared" si="2"/>
        <v>0.25</v>
      </c>
      <c r="E5" s="87">
        <v>1.624109211E9</v>
      </c>
      <c r="F5" s="64">
        <f>IFERROR(__xludf.DUMMYFUNCTION("INDEX(SPLIT(E5, char(10)), 0, 1)/86400+date(1970,1,1)"),44366.560312500005)</f>
        <v>44366.56031</v>
      </c>
      <c r="G5" s="90" t="s">
        <v>1294</v>
      </c>
      <c r="H5" s="90" t="s">
        <v>1295</v>
      </c>
      <c r="I5" s="39" t="s">
        <v>17</v>
      </c>
      <c r="J5" s="39"/>
    </row>
    <row r="6">
      <c r="A6" s="39" t="s">
        <v>17</v>
      </c>
      <c r="B6" s="39" t="s">
        <v>110</v>
      </c>
      <c r="C6" s="39">
        <f t="shared" si="1"/>
        <v>11</v>
      </c>
      <c r="D6" s="62">
        <f t="shared" si="2"/>
        <v>0.4583333333</v>
      </c>
      <c r="E6" s="87">
        <v>1.624109485E9</v>
      </c>
      <c r="F6" s="64">
        <f>IFERROR(__xludf.DUMMYFUNCTION("INDEX(SPLIT(E6, char(10)), 0, 1)/86400+date(1970,1,1)"),44366.5634837963)</f>
        <v>44366.56348</v>
      </c>
      <c r="G6" s="90" t="s">
        <v>1296</v>
      </c>
      <c r="H6" s="90" t="s">
        <v>1297</v>
      </c>
      <c r="I6" s="39" t="s">
        <v>17</v>
      </c>
    </row>
    <row r="7">
      <c r="B7" s="39" t="s">
        <v>13</v>
      </c>
      <c r="C7" s="67">
        <f t="shared" ref="C7:D7" si="3">SUM(C2:C6)</f>
        <v>24</v>
      </c>
      <c r="D7" s="68">
        <f t="shared" si="3"/>
        <v>1</v>
      </c>
      <c r="E7" s="87">
        <v>1.62410962E9</v>
      </c>
      <c r="F7" s="64">
        <f>IFERROR(__xludf.DUMMYFUNCTION("INDEX(SPLIT(E7, char(10)), 0, 1)/86400+date(1970,1,1)"),44366.565046296295)</f>
        <v>44366.56505</v>
      </c>
      <c r="G7" s="90" t="s">
        <v>1298</v>
      </c>
      <c r="H7" s="90" t="s">
        <v>1299</v>
      </c>
      <c r="I7" s="39" t="s">
        <v>15</v>
      </c>
    </row>
    <row r="8">
      <c r="A8" s="69"/>
      <c r="B8" s="39" t="s">
        <v>18</v>
      </c>
      <c r="C8" s="55">
        <f t="shared" ref="C8:D8" si="4">SUM(C5:C6)</f>
        <v>17</v>
      </c>
      <c r="D8" s="13">
        <f t="shared" si="4"/>
        <v>0.7083333333</v>
      </c>
      <c r="E8" s="87">
        <v>1.62411043E9</v>
      </c>
      <c r="F8" s="64">
        <f>IFERROR(__xludf.DUMMYFUNCTION("INDEX(SPLIT(E8, char(10)), 0, 1)/86400+date(1970,1,1)"),44366.574421296296)</f>
        <v>44366.57442</v>
      </c>
      <c r="G8" s="90" t="s">
        <v>1300</v>
      </c>
      <c r="H8" s="90" t="s">
        <v>1301</v>
      </c>
      <c r="I8" s="39" t="s">
        <v>16</v>
      </c>
    </row>
    <row r="9">
      <c r="A9" s="69"/>
      <c r="B9" s="39" t="s">
        <v>47</v>
      </c>
      <c r="C9" s="55">
        <f>SUM(C6:C7)</f>
        <v>35</v>
      </c>
      <c r="D9" s="13">
        <f>SUM(D5:D6) + D2</f>
        <v>0.75</v>
      </c>
      <c r="E9" s="87">
        <v>1.624110553E9</v>
      </c>
      <c r="F9" s="64">
        <f>IFERROR(__xludf.DUMMYFUNCTION("INDEX(SPLIT(E9, char(10)), 0, 1)/86400+date(1970,1,1)"),44366.575844907406)</f>
        <v>44366.57584</v>
      </c>
      <c r="G9" s="90" t="s">
        <v>1302</v>
      </c>
      <c r="H9" s="90" t="s">
        <v>1303</v>
      </c>
      <c r="I9" s="39" t="s">
        <v>17</v>
      </c>
    </row>
    <row r="10">
      <c r="A10" s="69"/>
      <c r="B10" s="69"/>
      <c r="C10" s="69"/>
      <c r="D10" s="69"/>
      <c r="E10" s="87">
        <v>1.62411095E9</v>
      </c>
      <c r="F10" s="64">
        <f>IFERROR(__xludf.DUMMYFUNCTION("INDEX(SPLIT(E10, char(10)), 0, 1)/86400+date(1970,1,1)"),44366.58043981482)</f>
        <v>44366.58044</v>
      </c>
      <c r="G10" s="90" t="s">
        <v>1304</v>
      </c>
      <c r="H10" s="90" t="s">
        <v>1305</v>
      </c>
      <c r="I10" s="39" t="s">
        <v>14</v>
      </c>
    </row>
    <row r="11">
      <c r="A11" s="69"/>
      <c r="B11" s="69"/>
      <c r="C11" s="69"/>
      <c r="D11" s="69"/>
      <c r="E11" s="87">
        <v>1.624111598E9</v>
      </c>
      <c r="F11" s="64">
        <f>IFERROR(__xludf.DUMMYFUNCTION("INDEX(SPLIT(E11, char(10)), 0, 1)/86400+date(1970,1,1)"),44366.58793981481)</f>
        <v>44366.58794</v>
      </c>
      <c r="G11" s="90" t="s">
        <v>1240</v>
      </c>
      <c r="H11" s="90" t="s">
        <v>1306</v>
      </c>
      <c r="I11" s="39" t="s">
        <v>14</v>
      </c>
    </row>
    <row r="12">
      <c r="A12" s="70" t="s">
        <v>123</v>
      </c>
      <c r="B12" s="88" t="s">
        <v>1307</v>
      </c>
      <c r="C12" s="86"/>
      <c r="D12" s="72"/>
      <c r="E12" s="87">
        <v>1.624111823E9</v>
      </c>
      <c r="F12" s="64">
        <f>IFERROR(__xludf.DUMMYFUNCTION("INDEX(SPLIT(E12, char(10)), 0, 1)/86400+date(1970,1,1)"),44366.59054398148)</f>
        <v>44366.59054</v>
      </c>
      <c r="G12" s="90" t="s">
        <v>1010</v>
      </c>
      <c r="H12" s="90" t="s">
        <v>1308</v>
      </c>
      <c r="I12" s="39" t="s">
        <v>15</v>
      </c>
    </row>
    <row r="13">
      <c r="A13" s="70" t="s">
        <v>127</v>
      </c>
      <c r="B13" s="72"/>
      <c r="C13" s="70" t="s">
        <v>91</v>
      </c>
      <c r="D13" s="70" t="s">
        <v>92</v>
      </c>
      <c r="E13" s="87">
        <v>1.624112184E9</v>
      </c>
      <c r="F13" s="64">
        <f>IFERROR(__xludf.DUMMYFUNCTION("INDEX(SPLIT(E13, char(10)), 0, 1)/86400+date(1970,1,1)"),44366.594722222224)</f>
        <v>44366.59472</v>
      </c>
      <c r="G13" s="90" t="s">
        <v>1309</v>
      </c>
      <c r="H13" s="90" t="s">
        <v>1310</v>
      </c>
      <c r="I13" s="39" t="s">
        <v>15</v>
      </c>
    </row>
    <row r="14">
      <c r="A14" s="5" t="s">
        <v>130</v>
      </c>
      <c r="B14" s="5" t="s">
        <v>131</v>
      </c>
      <c r="C14" s="73">
        <f t="shared" ref="C14:C17" si="5">COUNTIF($A$19:$A1000, A14)</f>
        <v>2</v>
      </c>
      <c r="D14" s="74">
        <f>IFERROR(__xludf.DUMMYFUNCTION("IF(C14, COUNTIF(FILTER($D$19:$D1000, $A$19:$A1000=A14), TRUE)/C14, 0)"),1.0)</f>
        <v>1</v>
      </c>
      <c r="E14" s="87">
        <v>1.624112288E9</v>
      </c>
      <c r="F14" s="64">
        <f>IFERROR(__xludf.DUMMYFUNCTION("INDEX(SPLIT(E14, char(10)), 0, 1)/86400+date(1970,1,1)"),44366.595925925925)</f>
        <v>44366.59593</v>
      </c>
      <c r="G14" s="90" t="s">
        <v>1311</v>
      </c>
      <c r="H14" s="90" t="s">
        <v>1312</v>
      </c>
      <c r="I14" s="39" t="s">
        <v>16</v>
      </c>
    </row>
    <row r="15">
      <c r="A15" s="5" t="s">
        <v>6</v>
      </c>
      <c r="B15" s="5" t="s">
        <v>134</v>
      </c>
      <c r="C15" s="73">
        <f t="shared" si="5"/>
        <v>2</v>
      </c>
      <c r="D15" s="74">
        <f>IFERROR(__xludf.DUMMYFUNCTION("IF(C15, COUNTIF(FILTER($D$19:$D1000, $A$19:$A1000=A15), TRUE)/C15, 0)"),0.5)</f>
        <v>0.5</v>
      </c>
      <c r="E15" s="87">
        <v>1.62411242E9</v>
      </c>
      <c r="F15" s="64">
        <f>IFERROR(__xludf.DUMMYFUNCTION("INDEX(SPLIT(E15, char(10)), 0, 1)/86400+date(1970,1,1)"),44366.597453703704)</f>
        <v>44366.59745</v>
      </c>
      <c r="G15" s="90" t="s">
        <v>1313</v>
      </c>
      <c r="H15" s="90" t="s">
        <v>1314</v>
      </c>
      <c r="I15" s="39" t="s">
        <v>17</v>
      </c>
    </row>
    <row r="16">
      <c r="A16" s="5" t="s">
        <v>7</v>
      </c>
      <c r="B16" s="5" t="s">
        <v>137</v>
      </c>
      <c r="C16" s="73">
        <f t="shared" si="5"/>
        <v>4</v>
      </c>
      <c r="D16" s="74">
        <f>IFERROR(__xludf.DUMMYFUNCTION("IF(C16, COUNTIF(FILTER($D$19:$D1000, $A$19:$A1000=A16), TRUE)/C16, 0)"),0.0)</f>
        <v>0</v>
      </c>
      <c r="E16" s="87">
        <v>1.624112735E9</v>
      </c>
      <c r="F16" s="64">
        <f>IFERROR(__xludf.DUMMYFUNCTION("INDEX(SPLIT(E16, char(10)), 0, 1)/86400+date(1970,1,1)"),44366.60109953704)</f>
        <v>44366.6011</v>
      </c>
      <c r="G16" s="90" t="s">
        <v>1315</v>
      </c>
      <c r="H16" s="90" t="s">
        <v>1316</v>
      </c>
      <c r="I16" s="39" t="s">
        <v>16</v>
      </c>
    </row>
    <row r="17">
      <c r="A17" s="5" t="s">
        <v>8</v>
      </c>
      <c r="B17" s="5" t="s">
        <v>79</v>
      </c>
      <c r="C17" s="73">
        <f t="shared" si="5"/>
        <v>7</v>
      </c>
      <c r="D17" s="74">
        <f>IFERROR(__xludf.DUMMYFUNCTION("IF(C17, COUNTIF(FILTER($D$19:$D1000, $A$19:$A1000=A17), TRUE)/C17, 0)"),0.5714285714285714)</f>
        <v>0.5714285714</v>
      </c>
      <c r="E17" s="87">
        <v>1.624112825E9</v>
      </c>
      <c r="F17" s="64">
        <f>IFERROR(__xludf.DUMMYFUNCTION("INDEX(SPLIT(E17, char(10)), 0, 1)/86400+date(1970,1,1)"),44366.60214120371)</f>
        <v>44366.60214</v>
      </c>
      <c r="G17" s="90" t="s">
        <v>1317</v>
      </c>
      <c r="H17" s="90" t="s">
        <v>1318</v>
      </c>
      <c r="I17" s="39" t="s">
        <v>75</v>
      </c>
    </row>
    <row r="18">
      <c r="A18" s="72"/>
      <c r="B18" s="70" t="s">
        <v>9</v>
      </c>
      <c r="C18" s="73">
        <f>SUM(C14:C17)</f>
        <v>15</v>
      </c>
      <c r="D18" s="74">
        <f>COUNTIF($D$19:$D1000, TRUE)/SUM($C$14:$C$17)</f>
        <v>0.4666666667</v>
      </c>
      <c r="E18" s="87">
        <v>1.624113056E9</v>
      </c>
      <c r="F18" s="64">
        <f>IFERROR(__xludf.DUMMYFUNCTION("INDEX(SPLIT(E18, char(10)), 0, 1)/86400+date(1970,1,1)"),44366.60481481481)</f>
        <v>44366.60481</v>
      </c>
      <c r="G18" s="90" t="s">
        <v>1319</v>
      </c>
      <c r="H18" s="90" t="s">
        <v>1320</v>
      </c>
      <c r="I18" s="39" t="s">
        <v>14</v>
      </c>
    </row>
    <row r="19">
      <c r="A19" s="70" t="s">
        <v>97</v>
      </c>
      <c r="B19" s="70" t="s">
        <v>144</v>
      </c>
      <c r="C19" s="70" t="s">
        <v>145</v>
      </c>
      <c r="D19" s="70" t="s">
        <v>146</v>
      </c>
      <c r="E19" s="87">
        <v>1.624113357E9</v>
      </c>
      <c r="F19" s="64">
        <f>IFERROR(__xludf.DUMMYFUNCTION("INDEX(SPLIT(E19, char(10)), 0, 1)/86400+date(1970,1,1)"),44366.608298611114)</f>
        <v>44366.6083</v>
      </c>
      <c r="G19" s="90" t="s">
        <v>1321</v>
      </c>
      <c r="H19" s="90" t="s">
        <v>1322</v>
      </c>
      <c r="I19" s="39" t="s">
        <v>16</v>
      </c>
    </row>
    <row r="20">
      <c r="A20" s="75" t="s">
        <v>7</v>
      </c>
      <c r="B20" s="75" t="s">
        <v>149</v>
      </c>
      <c r="C20" s="76">
        <v>1.0</v>
      </c>
      <c r="D20" s="78" t="b">
        <v>0</v>
      </c>
      <c r="E20" s="87">
        <v>1.624113474E9</v>
      </c>
      <c r="F20" s="64">
        <f>IFERROR(__xludf.DUMMYFUNCTION("INDEX(SPLIT(E20, char(10)), 0, 1)/86400+date(1970,1,1)"),44366.60965277778)</f>
        <v>44366.60965</v>
      </c>
      <c r="G20" s="90" t="s">
        <v>1323</v>
      </c>
      <c r="H20" s="90" t="s">
        <v>1324</v>
      </c>
      <c r="I20" s="39" t="s">
        <v>17</v>
      </c>
    </row>
    <row r="21">
      <c r="A21" s="75" t="s">
        <v>6</v>
      </c>
      <c r="B21" s="75" t="s">
        <v>1231</v>
      </c>
      <c r="C21" s="76">
        <v>10.0</v>
      </c>
      <c r="D21" s="78" t="b">
        <v>1</v>
      </c>
      <c r="E21" s="87">
        <v>1.624113803E9</v>
      </c>
      <c r="F21" s="64">
        <f>IFERROR(__xludf.DUMMYFUNCTION("INDEX(SPLIT(E21, char(10)), 0, 1)/86400+date(1970,1,1)"),44366.61346064815)</f>
        <v>44366.61346</v>
      </c>
      <c r="G21" s="90" t="s">
        <v>1325</v>
      </c>
      <c r="H21" s="90" t="s">
        <v>1326</v>
      </c>
      <c r="I21" s="39" t="s">
        <v>17</v>
      </c>
    </row>
    <row r="22">
      <c r="A22" s="75" t="s">
        <v>8</v>
      </c>
      <c r="B22" s="75" t="s">
        <v>1234</v>
      </c>
      <c r="C22" s="76">
        <v>26.0</v>
      </c>
      <c r="D22" s="78" t="b">
        <v>0</v>
      </c>
      <c r="E22" s="87">
        <v>1.624113953E9</v>
      </c>
      <c r="F22" s="64">
        <f>IFERROR(__xludf.DUMMYFUNCTION("INDEX(SPLIT(E22, char(10)), 0, 1)/86400+date(1970,1,1)"),44366.61519675926)</f>
        <v>44366.6152</v>
      </c>
      <c r="G22" s="90" t="s">
        <v>1327</v>
      </c>
      <c r="H22" s="90" t="s">
        <v>1328</v>
      </c>
      <c r="I22" s="39" t="s">
        <v>17</v>
      </c>
    </row>
    <row r="23">
      <c r="A23" s="75" t="s">
        <v>130</v>
      </c>
      <c r="B23" s="75" t="s">
        <v>1237</v>
      </c>
      <c r="C23" s="76">
        <v>45.0</v>
      </c>
      <c r="D23" s="78" t="b">
        <v>1</v>
      </c>
      <c r="E23" s="87">
        <v>1.624114082E9</v>
      </c>
      <c r="F23" s="64">
        <f>IFERROR(__xludf.DUMMYFUNCTION("INDEX(SPLIT(E23, char(10)), 0, 1)/86400+date(1970,1,1)"),44366.616689814815)</f>
        <v>44366.61669</v>
      </c>
      <c r="G23" s="90" t="s">
        <v>1329</v>
      </c>
      <c r="H23" s="90" t="s">
        <v>1330</v>
      </c>
      <c r="I23" s="39" t="s">
        <v>16</v>
      </c>
    </row>
    <row r="24">
      <c r="A24" s="5" t="s">
        <v>7</v>
      </c>
      <c r="B24" s="5" t="s">
        <v>155</v>
      </c>
      <c r="C24" s="76">
        <v>45.0</v>
      </c>
      <c r="D24" s="78" t="b">
        <v>0</v>
      </c>
      <c r="E24" s="87">
        <v>1.624114464E9</v>
      </c>
      <c r="F24" s="64">
        <f>IFERROR(__xludf.DUMMYFUNCTION("INDEX(SPLIT(E24, char(10)), 0, 1)/86400+date(1970,1,1)"),44366.62111111111)</f>
        <v>44366.62111</v>
      </c>
      <c r="G24" s="90" t="s">
        <v>1331</v>
      </c>
      <c r="H24" s="90" t="s">
        <v>1332</v>
      </c>
      <c r="I24" s="39" t="s">
        <v>17</v>
      </c>
    </row>
    <row r="25">
      <c r="A25" s="75" t="s">
        <v>7</v>
      </c>
      <c r="B25" s="72" t="s">
        <v>158</v>
      </c>
      <c r="C25" s="76">
        <v>46.0</v>
      </c>
      <c r="D25" s="78" t="b">
        <v>0</v>
      </c>
      <c r="E25" s="87">
        <v>1.624114585E9</v>
      </c>
      <c r="F25" s="64">
        <f>IFERROR(__xludf.DUMMYFUNCTION("INDEX(SPLIT(E25, char(10)), 0, 1)/86400+date(1970,1,1)"),44366.622511574074)</f>
        <v>44366.62251</v>
      </c>
      <c r="G25" s="90" t="s">
        <v>1333</v>
      </c>
      <c r="H25" s="90" t="s">
        <v>1334</v>
      </c>
      <c r="I25" s="39" t="s">
        <v>17</v>
      </c>
    </row>
    <row r="26">
      <c r="A26" s="75" t="s">
        <v>6</v>
      </c>
      <c r="B26" s="72" t="s">
        <v>1244</v>
      </c>
      <c r="C26" s="76">
        <v>52.0</v>
      </c>
      <c r="D26" s="78" t="b">
        <v>0</v>
      </c>
      <c r="F26" s="64"/>
      <c r="G26" s="84"/>
      <c r="H26" s="84"/>
      <c r="I26" s="40"/>
    </row>
    <row r="27">
      <c r="A27" s="75" t="s">
        <v>8</v>
      </c>
      <c r="B27" s="72" t="s">
        <v>1247</v>
      </c>
      <c r="C27" s="76">
        <v>57.0</v>
      </c>
      <c r="D27" s="78" t="b">
        <v>1</v>
      </c>
      <c r="F27" s="64"/>
      <c r="G27" s="84"/>
      <c r="H27" s="84"/>
      <c r="I27" s="40"/>
    </row>
    <row r="28">
      <c r="A28" s="75" t="s">
        <v>130</v>
      </c>
      <c r="B28" s="72" t="s">
        <v>1250</v>
      </c>
      <c r="C28" s="76">
        <v>66.0</v>
      </c>
      <c r="D28" s="78" t="b">
        <v>1</v>
      </c>
      <c r="F28" s="64"/>
      <c r="G28" s="84"/>
      <c r="H28" s="84"/>
      <c r="I28" s="40"/>
    </row>
    <row r="29">
      <c r="A29" s="75" t="s">
        <v>8</v>
      </c>
      <c r="B29" s="72" t="s">
        <v>1253</v>
      </c>
      <c r="C29" s="76">
        <v>75.0</v>
      </c>
      <c r="D29" s="78" t="b">
        <v>0</v>
      </c>
      <c r="F29" s="64"/>
      <c r="G29" s="84"/>
      <c r="H29" s="84"/>
      <c r="I29" s="40"/>
    </row>
    <row r="30">
      <c r="A30" s="75" t="s">
        <v>8</v>
      </c>
      <c r="B30" s="72" t="s">
        <v>1256</v>
      </c>
      <c r="C30" s="76">
        <v>76.0</v>
      </c>
      <c r="D30" s="78" t="b">
        <v>1</v>
      </c>
      <c r="F30" s="64"/>
      <c r="G30" s="84"/>
      <c r="H30" s="84"/>
      <c r="I30" s="40"/>
    </row>
    <row r="31">
      <c r="A31" s="75" t="s">
        <v>8</v>
      </c>
      <c r="B31" s="72" t="s">
        <v>1259</v>
      </c>
      <c r="C31" s="76">
        <v>76.0</v>
      </c>
      <c r="D31" s="78" t="b">
        <v>1</v>
      </c>
      <c r="F31" s="64"/>
      <c r="G31" s="84"/>
      <c r="H31" s="84"/>
      <c r="I31" s="40"/>
    </row>
    <row r="32">
      <c r="A32" s="75" t="s">
        <v>8</v>
      </c>
      <c r="B32" s="72" t="s">
        <v>1262</v>
      </c>
      <c r="C32" s="76">
        <v>84.0</v>
      </c>
      <c r="D32" s="78" t="b">
        <v>0</v>
      </c>
      <c r="F32" s="64"/>
      <c r="G32" s="84"/>
      <c r="H32" s="84"/>
      <c r="I32" s="40"/>
    </row>
    <row r="33">
      <c r="A33" s="75" t="s">
        <v>8</v>
      </c>
      <c r="B33" s="72" t="s">
        <v>1265</v>
      </c>
      <c r="C33" s="76">
        <v>87.0</v>
      </c>
      <c r="D33" s="78" t="b">
        <v>1</v>
      </c>
      <c r="F33" s="64"/>
      <c r="G33" s="84"/>
      <c r="H33" s="84"/>
      <c r="I33" s="40"/>
    </row>
    <row r="34">
      <c r="A34" s="75" t="s">
        <v>7</v>
      </c>
      <c r="B34" s="72" t="s">
        <v>183</v>
      </c>
      <c r="C34" s="76">
        <v>90.0</v>
      </c>
      <c r="D34" s="78" t="b">
        <v>0</v>
      </c>
      <c r="F34" s="64"/>
      <c r="G34" s="84"/>
      <c r="H34" s="84"/>
      <c r="I34" s="40"/>
    </row>
    <row r="35">
      <c r="A35" s="75"/>
      <c r="B35" s="72"/>
      <c r="C35" s="76"/>
      <c r="D35" s="78"/>
      <c r="F35" s="64"/>
      <c r="G35" s="84"/>
      <c r="H35" s="84"/>
      <c r="I35" s="40"/>
    </row>
    <row r="36">
      <c r="A36" s="75"/>
      <c r="B36" s="72"/>
      <c r="C36" s="76"/>
      <c r="D36" s="78"/>
      <c r="F36" s="64"/>
      <c r="G36" s="84"/>
      <c r="H36" s="84"/>
      <c r="I36" s="40"/>
    </row>
    <row r="37">
      <c r="A37" s="75"/>
      <c r="B37" s="72"/>
      <c r="C37" s="76"/>
      <c r="D37" s="78"/>
      <c r="F37" s="64"/>
      <c r="G37" s="84"/>
      <c r="H37" s="84"/>
      <c r="I37" s="40"/>
    </row>
    <row r="38">
      <c r="A38" s="75"/>
      <c r="B38" s="72"/>
      <c r="C38" s="76"/>
      <c r="D38" s="78"/>
      <c r="F38" s="64"/>
      <c r="G38" s="84"/>
      <c r="H38" s="84"/>
      <c r="I38" s="40"/>
    </row>
    <row r="39">
      <c r="A39" s="66"/>
      <c r="B39" s="72"/>
      <c r="C39" s="76"/>
      <c r="D39" s="78"/>
      <c r="F39" s="64"/>
      <c r="G39" s="84"/>
      <c r="H39" s="84"/>
      <c r="I39" s="40"/>
    </row>
    <row r="40">
      <c r="A40" s="66"/>
      <c r="B40" s="72"/>
      <c r="C40" s="76"/>
      <c r="D40" s="78"/>
      <c r="F40" s="64"/>
      <c r="G40" s="84"/>
      <c r="H40" s="84"/>
      <c r="I40" s="40"/>
    </row>
    <row r="41">
      <c r="A41" s="75"/>
      <c r="B41" s="72"/>
      <c r="C41" s="76"/>
      <c r="D41" s="78"/>
      <c r="F41" s="64"/>
      <c r="G41" s="84"/>
      <c r="H41" s="84"/>
      <c r="I41" s="40"/>
    </row>
    <row r="42">
      <c r="A42" s="75"/>
      <c r="B42" s="72"/>
      <c r="C42" s="76"/>
      <c r="D42" s="78"/>
      <c r="F42" s="64"/>
      <c r="G42" s="84"/>
      <c r="H42" s="84"/>
      <c r="I42" s="40"/>
    </row>
    <row r="43">
      <c r="A43" s="69"/>
      <c r="B43" s="69"/>
      <c r="C43" s="69"/>
      <c r="D43" s="69"/>
      <c r="F43" s="64"/>
      <c r="G43" s="84"/>
      <c r="H43" s="84"/>
      <c r="I43" s="40"/>
    </row>
    <row r="44">
      <c r="A44" s="69"/>
      <c r="B44" s="69"/>
      <c r="C44" s="69"/>
      <c r="D44" s="69"/>
      <c r="F44" s="64"/>
      <c r="G44" s="84"/>
      <c r="H44" s="84"/>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0.05405405405</v>
      </c>
      <c r="E2" s="87">
        <v>1.624107647E9</v>
      </c>
      <c r="F2" s="64">
        <f>IFERROR(__xludf.DUMMYFUNCTION("INDEX(SPLIT(E2, char(10)), 0, 1)/86400+date(1970,1,1)"),44366.54221064815)</f>
        <v>44366.54221</v>
      </c>
      <c r="G2" s="84" t="s">
        <v>1335</v>
      </c>
      <c r="H2" s="84" t="s">
        <v>1336</v>
      </c>
      <c r="I2" s="39" t="s">
        <v>16</v>
      </c>
      <c r="J2" s="39"/>
    </row>
    <row r="3">
      <c r="A3" s="39" t="s">
        <v>14</v>
      </c>
      <c r="B3" s="39" t="s">
        <v>101</v>
      </c>
      <c r="C3" s="39">
        <f t="shared" si="1"/>
        <v>4</v>
      </c>
      <c r="D3" s="62">
        <f t="shared" si="2"/>
        <v>0.1081081081</v>
      </c>
      <c r="E3" s="87">
        <v>1.624108225E9</v>
      </c>
      <c r="F3" s="64">
        <f>IFERROR(__xludf.DUMMYFUNCTION("INDEX(SPLIT(E3, char(10)), 0, 1)/86400+date(1970,1,1)"),44366.54890046296)</f>
        <v>44366.5489</v>
      </c>
      <c r="G3" s="84" t="s">
        <v>1337</v>
      </c>
      <c r="H3" s="84" t="s">
        <v>1338</v>
      </c>
      <c r="I3" s="39" t="s">
        <v>16</v>
      </c>
      <c r="J3" s="39"/>
    </row>
    <row r="4">
      <c r="A4" s="39" t="s">
        <v>15</v>
      </c>
      <c r="B4" s="39" t="s">
        <v>104</v>
      </c>
      <c r="C4" s="39">
        <f t="shared" si="1"/>
        <v>6</v>
      </c>
      <c r="D4" s="62">
        <f t="shared" si="2"/>
        <v>0.1621621622</v>
      </c>
      <c r="E4" s="87">
        <v>1.624108426E9</v>
      </c>
      <c r="F4" s="64">
        <f>IFERROR(__xludf.DUMMYFUNCTION("INDEX(SPLIT(E4, char(10)), 0, 1)/86400+date(1970,1,1)"),44366.55122685185)</f>
        <v>44366.55123</v>
      </c>
      <c r="G4" s="84" t="s">
        <v>1339</v>
      </c>
      <c r="H4" s="84" t="s">
        <v>1340</v>
      </c>
      <c r="I4" s="39" t="s">
        <v>17</v>
      </c>
      <c r="J4" s="39"/>
    </row>
    <row r="5">
      <c r="A5" s="39" t="s">
        <v>16</v>
      </c>
      <c r="B5" s="39" t="s">
        <v>107</v>
      </c>
      <c r="C5" s="39">
        <f t="shared" si="1"/>
        <v>9</v>
      </c>
      <c r="D5" s="62">
        <f t="shared" si="2"/>
        <v>0.2432432432</v>
      </c>
      <c r="E5" s="87">
        <v>1.624108555E9</v>
      </c>
      <c r="F5" s="64">
        <f>IFERROR(__xludf.DUMMYFUNCTION("INDEX(SPLIT(E5, char(10)), 0, 1)/86400+date(1970,1,1)"),44366.552719907406)</f>
        <v>44366.55272</v>
      </c>
      <c r="G5" s="84" t="s">
        <v>1341</v>
      </c>
      <c r="H5" s="84" t="s">
        <v>1342</v>
      </c>
      <c r="I5" s="39" t="s">
        <v>17</v>
      </c>
      <c r="J5" s="39"/>
    </row>
    <row r="6">
      <c r="A6" s="39" t="s">
        <v>17</v>
      </c>
      <c r="B6" s="39" t="s">
        <v>110</v>
      </c>
      <c r="C6" s="39">
        <f t="shared" si="1"/>
        <v>16</v>
      </c>
      <c r="D6" s="62">
        <f t="shared" si="2"/>
        <v>0.4324324324</v>
      </c>
      <c r="E6" s="87">
        <v>1.624108657E9</v>
      </c>
      <c r="F6" s="64">
        <f>IFERROR(__xludf.DUMMYFUNCTION("INDEX(SPLIT(E6, char(10)), 0, 1)/86400+date(1970,1,1)"),44366.55390046297)</f>
        <v>44366.5539</v>
      </c>
      <c r="G6" s="84" t="s">
        <v>1343</v>
      </c>
      <c r="H6" s="84" t="s">
        <v>1344</v>
      </c>
      <c r="I6" s="39" t="s">
        <v>17</v>
      </c>
    </row>
    <row r="7">
      <c r="B7" s="39" t="s">
        <v>13</v>
      </c>
      <c r="C7" s="67">
        <f t="shared" ref="C7:D7" si="3">SUM(C2:C6)</f>
        <v>37</v>
      </c>
      <c r="D7" s="68">
        <f t="shared" si="3"/>
        <v>1</v>
      </c>
      <c r="E7" s="87">
        <v>1.624109207E9</v>
      </c>
      <c r="F7" s="64">
        <f>IFERROR(__xludf.DUMMYFUNCTION("INDEX(SPLIT(E7, char(10)), 0, 1)/86400+date(1970,1,1)"),44366.560266203705)</f>
        <v>44366.56027</v>
      </c>
      <c r="G7" s="84" t="s">
        <v>1345</v>
      </c>
      <c r="H7" s="84" t="s">
        <v>1346</v>
      </c>
      <c r="I7" s="39" t="s">
        <v>17</v>
      </c>
    </row>
    <row r="8">
      <c r="A8" s="69"/>
      <c r="B8" s="39" t="s">
        <v>18</v>
      </c>
      <c r="C8" s="55">
        <f t="shared" ref="C8:D8" si="4">SUM(C5:C6)</f>
        <v>25</v>
      </c>
      <c r="D8" s="13">
        <f t="shared" si="4"/>
        <v>0.6756756757</v>
      </c>
      <c r="E8" s="87">
        <v>1.624109441E9</v>
      </c>
      <c r="F8" s="64">
        <f>IFERROR(__xludf.DUMMYFUNCTION("INDEX(SPLIT(E8, char(10)), 0, 1)/86400+date(1970,1,1)"),44366.56297453704)</f>
        <v>44366.56297</v>
      </c>
      <c r="G8" s="84" t="s">
        <v>1347</v>
      </c>
      <c r="H8" s="84" t="s">
        <v>1348</v>
      </c>
      <c r="I8" s="39" t="s">
        <v>14</v>
      </c>
    </row>
    <row r="9">
      <c r="A9" s="69"/>
      <c r="B9" s="39" t="s">
        <v>47</v>
      </c>
      <c r="C9" s="55">
        <f>SUM(C6:C7)</f>
        <v>53</v>
      </c>
      <c r="D9" s="13">
        <f>SUM(D5:D6) + D2</f>
        <v>0.7297297297</v>
      </c>
      <c r="E9" s="87">
        <v>1.62410954E9</v>
      </c>
      <c r="F9" s="64">
        <f>IFERROR(__xludf.DUMMYFUNCTION("INDEX(SPLIT(E9, char(10)), 0, 1)/86400+date(1970,1,1)"),44366.56412037037)</f>
        <v>44366.56412</v>
      </c>
      <c r="G9" s="84" t="s">
        <v>1349</v>
      </c>
      <c r="H9" s="84" t="s">
        <v>1350</v>
      </c>
      <c r="I9" s="39" t="s">
        <v>17</v>
      </c>
    </row>
    <row r="10">
      <c r="A10" s="69"/>
      <c r="B10" s="69"/>
      <c r="C10" s="69"/>
      <c r="D10" s="69"/>
      <c r="E10" s="87">
        <v>1.624109755E9</v>
      </c>
      <c r="F10" s="64">
        <f>IFERROR(__xludf.DUMMYFUNCTION("INDEX(SPLIT(E10, char(10)), 0, 1)/86400+date(1970,1,1)"),44366.566608796296)</f>
        <v>44366.56661</v>
      </c>
      <c r="G10" s="84" t="s">
        <v>1351</v>
      </c>
      <c r="H10" s="84" t="s">
        <v>1352</v>
      </c>
      <c r="I10" s="39" t="s">
        <v>17</v>
      </c>
    </row>
    <row r="11">
      <c r="A11" s="69"/>
      <c r="B11" s="69"/>
      <c r="C11" s="69"/>
      <c r="D11" s="69"/>
      <c r="E11" s="87">
        <v>1.624109911E9</v>
      </c>
      <c r="F11" s="64">
        <f>IFERROR(__xludf.DUMMYFUNCTION("INDEX(SPLIT(E11, char(10)), 0, 1)/86400+date(1970,1,1)"),44366.56841435185)</f>
        <v>44366.56841</v>
      </c>
      <c r="G11" s="84" t="s">
        <v>1010</v>
      </c>
      <c r="H11" s="84" t="s">
        <v>1353</v>
      </c>
      <c r="I11" s="39" t="s">
        <v>17</v>
      </c>
    </row>
    <row r="12">
      <c r="A12" s="70" t="s">
        <v>123</v>
      </c>
      <c r="B12" s="88" t="s">
        <v>1354</v>
      </c>
      <c r="C12" s="86"/>
      <c r="D12" s="72"/>
      <c r="E12" s="87">
        <v>1.624110206E9</v>
      </c>
      <c r="F12" s="64">
        <f>IFERROR(__xludf.DUMMYFUNCTION("INDEX(SPLIT(E12, char(10)), 0, 1)/86400+date(1970,1,1)"),44366.5718287037)</f>
        <v>44366.57183</v>
      </c>
      <c r="G12" s="84" t="s">
        <v>1355</v>
      </c>
      <c r="H12" s="84" t="s">
        <v>1356</v>
      </c>
      <c r="I12" s="39" t="s">
        <v>14</v>
      </c>
    </row>
    <row r="13">
      <c r="A13" s="70" t="s">
        <v>127</v>
      </c>
      <c r="B13" s="72"/>
      <c r="C13" s="70" t="s">
        <v>91</v>
      </c>
      <c r="D13" s="70" t="s">
        <v>92</v>
      </c>
      <c r="E13" s="87">
        <v>1.624110398E9</v>
      </c>
      <c r="F13" s="64">
        <f>IFERROR(__xludf.DUMMYFUNCTION("INDEX(SPLIT(E13, char(10)), 0, 1)/86400+date(1970,1,1)"),44366.57405092593)</f>
        <v>44366.57405</v>
      </c>
      <c r="G13" s="84" t="s">
        <v>1357</v>
      </c>
      <c r="H13" s="84" t="s">
        <v>1358</v>
      </c>
      <c r="I13" s="39" t="s">
        <v>16</v>
      </c>
    </row>
    <row r="14">
      <c r="A14" s="5" t="s">
        <v>130</v>
      </c>
      <c r="B14" s="5" t="s">
        <v>131</v>
      </c>
      <c r="C14" s="73">
        <f t="shared" ref="C14:C17" si="5">COUNTIF($A$19:$A1000, A14)</f>
        <v>2</v>
      </c>
      <c r="D14" s="74">
        <f>IFERROR(__xludf.DUMMYFUNCTION("IF(C14, COUNTIF(FILTER($D$19:$D1000, $A$19:$A1000=A14), TRUE)/C14, 0)"),1.0)</f>
        <v>1</v>
      </c>
      <c r="E14" s="87">
        <v>1.624110489E9</v>
      </c>
      <c r="F14" s="64">
        <f>IFERROR(__xludf.DUMMYFUNCTION("INDEX(SPLIT(E14, char(10)), 0, 1)/86400+date(1970,1,1)"),44366.575104166666)</f>
        <v>44366.5751</v>
      </c>
      <c r="G14" s="84" t="s">
        <v>1359</v>
      </c>
      <c r="H14" s="84" t="s">
        <v>1360</v>
      </c>
      <c r="I14" s="39" t="s">
        <v>17</v>
      </c>
    </row>
    <row r="15">
      <c r="A15" s="5" t="s">
        <v>6</v>
      </c>
      <c r="B15" s="5" t="s">
        <v>134</v>
      </c>
      <c r="C15" s="73">
        <f t="shared" si="5"/>
        <v>2</v>
      </c>
      <c r="D15" s="74">
        <f>IFERROR(__xludf.DUMMYFUNCTION("IF(C15, COUNTIF(FILTER($D$19:$D1000, $A$19:$A1000=A15), TRUE)/C15, 0)"),0.5)</f>
        <v>0.5</v>
      </c>
      <c r="E15" s="87">
        <v>1.62411062E9</v>
      </c>
      <c r="F15" s="64">
        <f>IFERROR(__xludf.DUMMYFUNCTION("INDEX(SPLIT(E15, char(10)), 0, 1)/86400+date(1970,1,1)"),44366.57662037037)</f>
        <v>44366.57662</v>
      </c>
      <c r="G15" s="84" t="s">
        <v>1361</v>
      </c>
      <c r="H15" s="84" t="s">
        <v>1362</v>
      </c>
      <c r="I15" s="39" t="s">
        <v>17</v>
      </c>
    </row>
    <row r="16">
      <c r="A16" s="5" t="s">
        <v>7</v>
      </c>
      <c r="B16" s="5" t="s">
        <v>137</v>
      </c>
      <c r="C16" s="73">
        <f t="shared" si="5"/>
        <v>4</v>
      </c>
      <c r="D16" s="74">
        <f>IFERROR(__xludf.DUMMYFUNCTION("IF(C16, COUNTIF(FILTER($D$19:$D1000, $A$19:$A1000=A16), TRUE)/C16, 0)"),0.5)</f>
        <v>0.5</v>
      </c>
      <c r="E16" s="87">
        <v>1.624110768E9</v>
      </c>
      <c r="F16" s="64">
        <f>IFERROR(__xludf.DUMMYFUNCTION("INDEX(SPLIT(E16, char(10)), 0, 1)/86400+date(1970,1,1)"),44366.57833333334)</f>
        <v>44366.57833</v>
      </c>
      <c r="G16" s="84" t="s">
        <v>1363</v>
      </c>
      <c r="H16" s="84" t="s">
        <v>1364</v>
      </c>
      <c r="I16" s="39" t="s">
        <v>17</v>
      </c>
    </row>
    <row r="17">
      <c r="A17" s="5" t="s">
        <v>8</v>
      </c>
      <c r="B17" s="5" t="s">
        <v>79</v>
      </c>
      <c r="C17" s="73">
        <f t="shared" si="5"/>
        <v>7</v>
      </c>
      <c r="D17" s="74">
        <f>IFERROR(__xludf.DUMMYFUNCTION("IF(C17, COUNTIF(FILTER($D$19:$D1000, $A$19:$A1000=A17), TRUE)/C17, 0)"),0.5714285714285714)</f>
        <v>0.5714285714</v>
      </c>
      <c r="E17" s="87">
        <v>1.624110915E9</v>
      </c>
      <c r="F17" s="64">
        <f>IFERROR(__xludf.DUMMYFUNCTION("INDEX(SPLIT(E17, char(10)), 0, 1)/86400+date(1970,1,1)"),44366.580034722225)</f>
        <v>44366.58003</v>
      </c>
      <c r="G17" s="84" t="s">
        <v>1365</v>
      </c>
      <c r="H17" s="84" t="s">
        <v>1366</v>
      </c>
      <c r="I17" s="39" t="s">
        <v>14</v>
      </c>
    </row>
    <row r="18">
      <c r="A18" s="72"/>
      <c r="B18" s="70" t="s">
        <v>9</v>
      </c>
      <c r="C18" s="73">
        <f>SUM(C14:C17)</f>
        <v>15</v>
      </c>
      <c r="D18" s="74">
        <f>COUNTIF($D$19:$D1000, TRUE)/SUM($C$14:$C$17)</f>
        <v>0.6</v>
      </c>
      <c r="E18" s="87">
        <v>1.624111226E9</v>
      </c>
      <c r="F18" s="64">
        <f>IFERROR(__xludf.DUMMYFUNCTION("INDEX(SPLIT(E18, char(10)), 0, 1)/86400+date(1970,1,1)"),44366.58363425926)</f>
        <v>44366.58363</v>
      </c>
      <c r="G18" s="84" t="s">
        <v>1367</v>
      </c>
      <c r="H18" s="84" t="s">
        <v>1368</v>
      </c>
      <c r="I18" s="39" t="s">
        <v>14</v>
      </c>
    </row>
    <row r="19">
      <c r="A19" s="70" t="s">
        <v>97</v>
      </c>
      <c r="B19" s="70" t="s">
        <v>144</v>
      </c>
      <c r="C19" s="70" t="s">
        <v>145</v>
      </c>
      <c r="D19" s="70" t="s">
        <v>146</v>
      </c>
      <c r="E19" s="87">
        <v>1.624111635E9</v>
      </c>
      <c r="F19" s="64">
        <f>IFERROR(__xludf.DUMMYFUNCTION("INDEX(SPLIT(E19, char(10)), 0, 1)/86400+date(1970,1,1)"),44366.588368055556)</f>
        <v>44366.58837</v>
      </c>
      <c r="G19" s="84" t="s">
        <v>1369</v>
      </c>
      <c r="H19" s="84" t="s">
        <v>1370</v>
      </c>
      <c r="I19" s="39" t="s">
        <v>75</v>
      </c>
    </row>
    <row r="20">
      <c r="A20" s="75" t="s">
        <v>7</v>
      </c>
      <c r="B20" s="75" t="s">
        <v>149</v>
      </c>
      <c r="C20" s="76">
        <v>1.0</v>
      </c>
      <c r="D20" s="78" t="b">
        <v>1</v>
      </c>
      <c r="E20" s="87">
        <v>1.624111836E9</v>
      </c>
      <c r="F20" s="64">
        <f>IFERROR(__xludf.DUMMYFUNCTION("INDEX(SPLIT(E20, char(10)), 0, 1)/86400+date(1970,1,1)"),44366.59069444444)</f>
        <v>44366.59069</v>
      </c>
      <c r="G20" s="84" t="s">
        <v>1371</v>
      </c>
      <c r="H20" s="84" t="s">
        <v>1372</v>
      </c>
      <c r="I20" s="39" t="s">
        <v>15</v>
      </c>
    </row>
    <row r="21">
      <c r="A21" s="75" t="s">
        <v>6</v>
      </c>
      <c r="B21" s="75" t="s">
        <v>1231</v>
      </c>
      <c r="C21" s="76">
        <v>10.0</v>
      </c>
      <c r="D21" s="78" t="b">
        <v>1</v>
      </c>
      <c r="E21" s="87">
        <v>1.62411206E9</v>
      </c>
      <c r="F21" s="64">
        <f>IFERROR(__xludf.DUMMYFUNCTION("INDEX(SPLIT(E21, char(10)), 0, 1)/86400+date(1970,1,1)"),44366.59328703704)</f>
        <v>44366.59329</v>
      </c>
      <c r="G21" s="84" t="s">
        <v>1373</v>
      </c>
      <c r="H21" s="84" t="s">
        <v>1374</v>
      </c>
      <c r="I21" s="39" t="s">
        <v>17</v>
      </c>
    </row>
    <row r="22">
      <c r="A22" s="75" t="s">
        <v>8</v>
      </c>
      <c r="B22" s="75" t="s">
        <v>1234</v>
      </c>
      <c r="C22" s="76">
        <v>26.0</v>
      </c>
      <c r="D22" s="78" t="b">
        <v>0</v>
      </c>
      <c r="E22" s="87">
        <v>1.624112246E9</v>
      </c>
      <c r="F22" s="64">
        <f>IFERROR(__xludf.DUMMYFUNCTION("INDEX(SPLIT(E22, char(10)), 0, 1)/86400+date(1970,1,1)"),44366.59543981482)</f>
        <v>44366.59544</v>
      </c>
      <c r="G22" s="84" t="s">
        <v>1375</v>
      </c>
      <c r="H22" s="84" t="s">
        <v>1376</v>
      </c>
      <c r="I22" s="39" t="s">
        <v>16</v>
      </c>
    </row>
    <row r="23">
      <c r="A23" s="75" t="s">
        <v>130</v>
      </c>
      <c r="B23" s="75" t="s">
        <v>1237</v>
      </c>
      <c r="C23" s="76">
        <v>45.0</v>
      </c>
      <c r="D23" s="78" t="b">
        <v>1</v>
      </c>
      <c r="E23" s="87">
        <v>1.624112463E9</v>
      </c>
      <c r="F23" s="64">
        <f>IFERROR(__xludf.DUMMYFUNCTION("INDEX(SPLIT(E23, char(10)), 0, 1)/86400+date(1970,1,1)"),44366.59795138889)</f>
        <v>44366.59795</v>
      </c>
      <c r="G23" s="84" t="s">
        <v>1377</v>
      </c>
      <c r="H23" s="84" t="s">
        <v>1378</v>
      </c>
      <c r="I23" s="39" t="s">
        <v>15</v>
      </c>
    </row>
    <row r="24">
      <c r="A24" s="5" t="s">
        <v>7</v>
      </c>
      <c r="B24" s="5" t="s">
        <v>155</v>
      </c>
      <c r="C24" s="76">
        <v>45.0</v>
      </c>
      <c r="D24" s="78" t="b">
        <v>0</v>
      </c>
      <c r="E24" s="87">
        <v>1.624112594E9</v>
      </c>
      <c r="F24" s="64">
        <f>IFERROR(__xludf.DUMMYFUNCTION("INDEX(SPLIT(E24, char(10)), 0, 1)/86400+date(1970,1,1)"),44366.59946759259)</f>
        <v>44366.59947</v>
      </c>
      <c r="G24" s="84" t="s">
        <v>1379</v>
      </c>
      <c r="H24" s="84" t="s">
        <v>1380</v>
      </c>
      <c r="I24" s="39" t="s">
        <v>17</v>
      </c>
    </row>
    <row r="25">
      <c r="A25" s="75" t="s">
        <v>7</v>
      </c>
      <c r="B25" s="72" t="s">
        <v>158</v>
      </c>
      <c r="C25" s="76">
        <v>46.0</v>
      </c>
      <c r="D25" s="78" t="b">
        <v>0</v>
      </c>
      <c r="E25" s="87">
        <v>1.624112749E9</v>
      </c>
      <c r="F25" s="64">
        <f>IFERROR(__xludf.DUMMYFUNCTION("INDEX(SPLIT(E25, char(10)), 0, 1)/86400+date(1970,1,1)"),44366.60126157408)</f>
        <v>44366.60126</v>
      </c>
      <c r="G25" s="84" t="s">
        <v>1381</v>
      </c>
      <c r="H25" s="84" t="s">
        <v>1382</v>
      </c>
      <c r="I25" s="39" t="s">
        <v>16</v>
      </c>
    </row>
    <row r="26">
      <c r="A26" s="75" t="s">
        <v>6</v>
      </c>
      <c r="B26" s="72" t="s">
        <v>1244</v>
      </c>
      <c r="C26" s="76">
        <v>52.0</v>
      </c>
      <c r="D26" s="78" t="b">
        <v>0</v>
      </c>
      <c r="E26" s="87">
        <v>1.624112844E9</v>
      </c>
      <c r="F26" s="64">
        <f>IFERROR(__xludf.DUMMYFUNCTION("INDEX(SPLIT(E26, char(10)), 0, 1)/86400+date(1970,1,1)"),44366.602361111116)</f>
        <v>44366.60236</v>
      </c>
      <c r="G26" s="84" t="s">
        <v>1383</v>
      </c>
      <c r="H26" s="84" t="s">
        <v>1384</v>
      </c>
      <c r="I26" s="39" t="s">
        <v>17</v>
      </c>
    </row>
    <row r="27">
      <c r="A27" s="75" t="s">
        <v>8</v>
      </c>
      <c r="B27" s="72" t="s">
        <v>1247</v>
      </c>
      <c r="C27" s="76">
        <v>57.0</v>
      </c>
      <c r="D27" s="78" t="b">
        <v>1</v>
      </c>
      <c r="E27" s="87">
        <v>1.624113081E9</v>
      </c>
      <c r="F27" s="64">
        <f>IFERROR(__xludf.DUMMYFUNCTION("INDEX(SPLIT(E27, char(10)), 0, 1)/86400+date(1970,1,1)"),44366.605104166665)</f>
        <v>44366.6051</v>
      </c>
      <c r="G27" s="84" t="s">
        <v>1385</v>
      </c>
      <c r="H27" s="84" t="s">
        <v>1386</v>
      </c>
      <c r="I27" s="39" t="s">
        <v>15</v>
      </c>
    </row>
    <row r="28">
      <c r="A28" s="75" t="s">
        <v>130</v>
      </c>
      <c r="B28" s="72" t="s">
        <v>1250</v>
      </c>
      <c r="C28" s="76">
        <v>66.0</v>
      </c>
      <c r="D28" s="78" t="b">
        <v>1</v>
      </c>
      <c r="E28" s="87">
        <v>1.624113179E9</v>
      </c>
      <c r="F28" s="64">
        <f>IFERROR(__xludf.DUMMYFUNCTION("INDEX(SPLIT(E28, char(10)), 0, 1)/86400+date(1970,1,1)"),44366.60623842593)</f>
        <v>44366.60624</v>
      </c>
      <c r="G28" s="84" t="s">
        <v>1387</v>
      </c>
      <c r="H28" s="84" t="s">
        <v>1388</v>
      </c>
      <c r="I28" s="39" t="s">
        <v>17</v>
      </c>
    </row>
    <row r="29">
      <c r="A29" s="75" t="s">
        <v>8</v>
      </c>
      <c r="B29" s="72" t="s">
        <v>1253</v>
      </c>
      <c r="C29" s="76">
        <v>75.0</v>
      </c>
      <c r="D29" s="78" t="b">
        <v>0</v>
      </c>
      <c r="E29" s="87">
        <v>1.624113289E9</v>
      </c>
      <c r="F29" s="64">
        <f>IFERROR(__xludf.DUMMYFUNCTION("INDEX(SPLIT(E29, char(10)), 0, 1)/86400+date(1970,1,1)"),44366.607511574075)</f>
        <v>44366.60751</v>
      </c>
      <c r="G29" s="84" t="s">
        <v>1389</v>
      </c>
      <c r="H29" s="84" t="s">
        <v>1390</v>
      </c>
      <c r="I29" s="39" t="s">
        <v>16</v>
      </c>
    </row>
    <row r="30">
      <c r="A30" s="75" t="s">
        <v>8</v>
      </c>
      <c r="B30" s="72" t="s">
        <v>1256</v>
      </c>
      <c r="C30" s="76">
        <v>76.0</v>
      </c>
      <c r="D30" s="78" t="b">
        <v>1</v>
      </c>
      <c r="E30" s="87">
        <v>1.624113389E9</v>
      </c>
      <c r="F30" s="64">
        <f>IFERROR(__xludf.DUMMYFUNCTION("INDEX(SPLIT(E30, char(10)), 0, 1)/86400+date(1970,1,1)"),44366.608668981484)</f>
        <v>44366.60867</v>
      </c>
      <c r="G30" s="84" t="s">
        <v>1391</v>
      </c>
      <c r="H30" s="84" t="s">
        <v>1392</v>
      </c>
      <c r="I30" s="39" t="s">
        <v>16</v>
      </c>
    </row>
    <row r="31">
      <c r="A31" s="75" t="s">
        <v>8</v>
      </c>
      <c r="B31" s="72" t="s">
        <v>1259</v>
      </c>
      <c r="C31" s="76">
        <v>76.0</v>
      </c>
      <c r="D31" s="78" t="b">
        <v>1</v>
      </c>
      <c r="E31" s="87">
        <v>1.624113539E9</v>
      </c>
      <c r="F31" s="64">
        <f>IFERROR(__xludf.DUMMYFUNCTION("INDEX(SPLIT(E31, char(10)), 0, 1)/86400+date(1970,1,1)"),44366.61040509259)</f>
        <v>44366.61041</v>
      </c>
      <c r="G31" s="84" t="s">
        <v>1393</v>
      </c>
      <c r="H31" s="84" t="s">
        <v>1394</v>
      </c>
      <c r="I31" s="39" t="s">
        <v>15</v>
      </c>
    </row>
    <row r="32">
      <c r="A32" s="75" t="s">
        <v>8</v>
      </c>
      <c r="B32" s="72" t="s">
        <v>1262</v>
      </c>
      <c r="C32" s="76">
        <v>84.0</v>
      </c>
      <c r="D32" s="78" t="b">
        <v>0</v>
      </c>
      <c r="E32" s="87">
        <v>1.624113749E9</v>
      </c>
      <c r="F32" s="64">
        <f>IFERROR(__xludf.DUMMYFUNCTION("INDEX(SPLIT(E32, char(10)), 0, 1)/86400+date(1970,1,1)"),44366.61283564815)</f>
        <v>44366.61284</v>
      </c>
      <c r="G32" s="84" t="s">
        <v>1395</v>
      </c>
      <c r="H32" s="84" t="s">
        <v>1396</v>
      </c>
      <c r="I32" s="39" t="s">
        <v>17</v>
      </c>
    </row>
    <row r="33">
      <c r="A33" s="75" t="s">
        <v>8</v>
      </c>
      <c r="B33" s="72" t="s">
        <v>1265</v>
      </c>
      <c r="C33" s="76">
        <v>87.0</v>
      </c>
      <c r="D33" s="78" t="b">
        <v>1</v>
      </c>
      <c r="E33" s="87">
        <v>1.624113858E9</v>
      </c>
      <c r="F33" s="64">
        <f>IFERROR(__xludf.DUMMYFUNCTION("INDEX(SPLIT(E33, char(10)), 0, 1)/86400+date(1970,1,1)"),44366.61409722222)</f>
        <v>44366.6141</v>
      </c>
      <c r="G33" s="84" t="s">
        <v>1397</v>
      </c>
      <c r="H33" s="84" t="s">
        <v>1398</v>
      </c>
      <c r="I33" s="39" t="s">
        <v>15</v>
      </c>
    </row>
    <row r="34">
      <c r="A34" s="75" t="s">
        <v>7</v>
      </c>
      <c r="B34" s="72" t="s">
        <v>183</v>
      </c>
      <c r="C34" s="76">
        <v>90.0</v>
      </c>
      <c r="D34" s="78" t="b">
        <v>1</v>
      </c>
      <c r="E34" s="87">
        <v>1.624114078E9</v>
      </c>
      <c r="F34" s="64">
        <f>IFERROR(__xludf.DUMMYFUNCTION("INDEX(SPLIT(E34, char(10)), 0, 1)/86400+date(1970,1,1)"),44366.616643518515)</f>
        <v>44366.61664</v>
      </c>
      <c r="G34" s="84" t="s">
        <v>1399</v>
      </c>
      <c r="H34" s="84" t="s">
        <v>1400</v>
      </c>
      <c r="I34" s="39" t="s">
        <v>16</v>
      </c>
    </row>
    <row r="35">
      <c r="A35" s="75"/>
      <c r="B35" s="72"/>
      <c r="C35" s="76"/>
      <c r="D35" s="78"/>
      <c r="E35" s="87">
        <v>1.624114233E9</v>
      </c>
      <c r="F35" s="64">
        <f>IFERROR(__xludf.DUMMYFUNCTION("INDEX(SPLIT(E35, char(10)), 0, 1)/86400+date(1970,1,1)"),44366.6184375)</f>
        <v>44366.61844</v>
      </c>
      <c r="G35" s="84" t="s">
        <v>1401</v>
      </c>
      <c r="H35" s="84" t="s">
        <v>1402</v>
      </c>
      <c r="I35" s="39" t="s">
        <v>75</v>
      </c>
    </row>
    <row r="36">
      <c r="A36" s="75"/>
      <c r="B36" s="72"/>
      <c r="C36" s="76"/>
      <c r="D36" s="78"/>
      <c r="E36" s="87">
        <v>1.624114457E9</v>
      </c>
      <c r="F36" s="64">
        <f>IFERROR(__xludf.DUMMYFUNCTION("INDEX(SPLIT(E36, char(10)), 0, 1)/86400+date(1970,1,1)"),44366.62103009259)</f>
        <v>44366.62103</v>
      </c>
      <c r="G36" s="84" t="s">
        <v>1403</v>
      </c>
      <c r="H36" s="84" t="s">
        <v>1404</v>
      </c>
      <c r="I36" s="39" t="s">
        <v>17</v>
      </c>
    </row>
    <row r="37">
      <c r="A37" s="75"/>
      <c r="B37" s="72"/>
      <c r="C37" s="76"/>
      <c r="D37" s="78"/>
      <c r="E37" s="87">
        <v>1.624114556E9</v>
      </c>
      <c r="F37" s="64">
        <f>IFERROR(__xludf.DUMMYFUNCTION("INDEX(SPLIT(E37, char(10)), 0, 1)/86400+date(1970,1,1)"),44366.62217592592)</f>
        <v>44366.62218</v>
      </c>
      <c r="G37" s="84" t="s">
        <v>1405</v>
      </c>
      <c r="H37" s="84" t="s">
        <v>1406</v>
      </c>
      <c r="I37" s="39" t="s">
        <v>15</v>
      </c>
    </row>
    <row r="38">
      <c r="A38" s="75"/>
      <c r="B38" s="72"/>
      <c r="C38" s="76"/>
      <c r="D38" s="78"/>
      <c r="E38" s="87">
        <v>1.624114678E9</v>
      </c>
      <c r="F38" s="64">
        <f>IFERROR(__xludf.DUMMYFUNCTION("INDEX(SPLIT(E38, char(10)), 0, 1)/86400+date(1970,1,1)"),44366.62358796297)</f>
        <v>44366.62359</v>
      </c>
      <c r="G38" s="84" t="s">
        <v>1407</v>
      </c>
      <c r="H38" s="84" t="s">
        <v>1408</v>
      </c>
      <c r="I38" s="39" t="s">
        <v>16</v>
      </c>
    </row>
    <row r="39">
      <c r="A39" s="66"/>
      <c r="B39" s="72"/>
      <c r="C39" s="76"/>
      <c r="D39" s="78"/>
      <c r="F39" s="64"/>
      <c r="G39" s="84"/>
      <c r="H39" s="84"/>
      <c r="I39" s="40"/>
    </row>
    <row r="40">
      <c r="A40" s="66"/>
      <c r="B40" s="72"/>
      <c r="C40" s="76"/>
      <c r="D40" s="78"/>
      <c r="F40" s="64"/>
      <c r="G40" s="84"/>
      <c r="H40" s="84"/>
      <c r="I40" s="40"/>
    </row>
    <row r="41">
      <c r="A41" s="75"/>
      <c r="B41" s="72"/>
      <c r="C41" s="76"/>
      <c r="D41" s="78"/>
      <c r="F41" s="64"/>
      <c r="G41" s="84"/>
      <c r="H41" s="84"/>
      <c r="I41" s="40"/>
    </row>
    <row r="42">
      <c r="A42" s="75"/>
      <c r="B42" s="72"/>
      <c r="C42" s="76"/>
      <c r="D42" s="78"/>
      <c r="F42" s="64"/>
      <c r="G42" s="84"/>
      <c r="H42" s="84"/>
      <c r="I42" s="40"/>
    </row>
    <row r="43">
      <c r="A43" s="69"/>
      <c r="B43" s="69"/>
      <c r="C43" s="69"/>
      <c r="D43" s="69"/>
      <c r="F43" s="64"/>
      <c r="G43" s="84"/>
      <c r="H43" s="84"/>
      <c r="I43" s="40"/>
    </row>
    <row r="44">
      <c r="F44" s="64"/>
      <c r="G44" s="84"/>
      <c r="H44" s="84"/>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A1" ref="B1"/>
    <hyperlink r:id="rId1" ref="B1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9</v>
      </c>
      <c r="D2" s="62">
        <f t="shared" ref="D2:D6" si="2">C2/COUNTA(I$2:I1000)</f>
        <v>0.28125</v>
      </c>
      <c r="E2" s="66">
        <v>1.617478217E9</v>
      </c>
      <c r="F2" s="64">
        <f>IFERROR(__xludf.DUMMYFUNCTION("INDEX(SPLIT(E2, char(10)), 0, 1)/86400+date(1970,1,1)"),44289.812696759254)</f>
        <v>44289.8127</v>
      </c>
      <c r="G2" s="78" t="s">
        <v>1409</v>
      </c>
      <c r="H2" s="84" t="s">
        <v>1410</v>
      </c>
      <c r="I2" s="39" t="s">
        <v>16</v>
      </c>
      <c r="J2" s="39"/>
    </row>
    <row r="3">
      <c r="A3" s="39" t="s">
        <v>14</v>
      </c>
      <c r="B3" s="39" t="s">
        <v>101</v>
      </c>
      <c r="C3" s="39">
        <f t="shared" si="1"/>
        <v>1</v>
      </c>
      <c r="D3" s="62">
        <f t="shared" si="2"/>
        <v>0.03125</v>
      </c>
      <c r="E3" s="66">
        <v>1.617478338E9</v>
      </c>
      <c r="F3" s="64">
        <f>IFERROR(__xludf.DUMMYFUNCTION("INDEX(SPLIT(E3, char(10)), 0, 1)/86400+date(1970,1,1)"),44289.81409722222)</f>
        <v>44289.8141</v>
      </c>
      <c r="G3" s="78" t="s">
        <v>1411</v>
      </c>
      <c r="H3" s="84" t="s">
        <v>1412</v>
      </c>
      <c r="I3" s="39" t="s">
        <v>15</v>
      </c>
      <c r="J3" s="39"/>
    </row>
    <row r="4">
      <c r="A4" s="39" t="s">
        <v>15</v>
      </c>
      <c r="B4" s="39" t="s">
        <v>104</v>
      </c>
      <c r="C4" s="39">
        <f t="shared" si="1"/>
        <v>8</v>
      </c>
      <c r="D4" s="62">
        <f t="shared" si="2"/>
        <v>0.25</v>
      </c>
      <c r="E4" s="66">
        <v>1.617478495E9</v>
      </c>
      <c r="F4" s="64">
        <f>IFERROR(__xludf.DUMMYFUNCTION("INDEX(SPLIT(E4, char(10)), 0, 1)/86400+date(1970,1,1)"),44289.81591435186)</f>
        <v>44289.81591</v>
      </c>
      <c r="G4" s="78" t="s">
        <v>1413</v>
      </c>
      <c r="H4" s="84" t="s">
        <v>1414</v>
      </c>
      <c r="I4" s="39" t="s">
        <v>15</v>
      </c>
      <c r="J4" s="39"/>
    </row>
    <row r="5">
      <c r="A5" s="39" t="s">
        <v>16</v>
      </c>
      <c r="B5" s="39" t="s">
        <v>107</v>
      </c>
      <c r="C5" s="39">
        <f t="shared" si="1"/>
        <v>6</v>
      </c>
      <c r="D5" s="62">
        <f t="shared" si="2"/>
        <v>0.1875</v>
      </c>
      <c r="E5" s="66">
        <v>1.617478678E9</v>
      </c>
      <c r="F5" s="64">
        <f>IFERROR(__xludf.DUMMYFUNCTION("INDEX(SPLIT(E5, char(10)), 0, 1)/86400+date(1970,1,1)"),44289.818032407406)</f>
        <v>44289.81803</v>
      </c>
      <c r="G5" s="78" t="s">
        <v>1415</v>
      </c>
      <c r="H5" s="84" t="s">
        <v>1416</v>
      </c>
      <c r="I5" s="39" t="s">
        <v>75</v>
      </c>
      <c r="J5" s="39"/>
    </row>
    <row r="6">
      <c r="A6" s="39" t="s">
        <v>17</v>
      </c>
      <c r="B6" s="39" t="s">
        <v>110</v>
      </c>
      <c r="C6" s="39">
        <f t="shared" si="1"/>
        <v>8</v>
      </c>
      <c r="D6" s="62">
        <f t="shared" si="2"/>
        <v>0.25</v>
      </c>
      <c r="E6" s="87">
        <v>1.617478795E9</v>
      </c>
      <c r="F6" s="64">
        <f>IFERROR(__xludf.DUMMYFUNCTION("INDEX(SPLIT(E6, char(10)), 0, 1)/86400+date(1970,1,1)"),44289.819386574076)</f>
        <v>44289.81939</v>
      </c>
      <c r="G6" s="87" t="s">
        <v>1417</v>
      </c>
      <c r="H6" s="84" t="s">
        <v>1418</v>
      </c>
      <c r="I6" s="39" t="s">
        <v>17</v>
      </c>
    </row>
    <row r="7">
      <c r="B7" s="39" t="s">
        <v>13</v>
      </c>
      <c r="C7" s="67">
        <f t="shared" ref="C7:D7" si="3">SUM(C2:C6)</f>
        <v>32</v>
      </c>
      <c r="D7" s="68">
        <f t="shared" si="3"/>
        <v>1</v>
      </c>
      <c r="E7" s="87">
        <v>1.61747905E9</v>
      </c>
      <c r="F7" s="64">
        <f>IFERROR(__xludf.DUMMYFUNCTION("INDEX(SPLIT(E7, char(10)), 0, 1)/86400+date(1970,1,1)"),44289.82233796296)</f>
        <v>44289.82234</v>
      </c>
      <c r="G7" s="87" t="s">
        <v>1419</v>
      </c>
      <c r="H7" s="84" t="s">
        <v>1420</v>
      </c>
      <c r="I7" s="39" t="s">
        <v>75</v>
      </c>
    </row>
    <row r="8">
      <c r="A8" s="69"/>
      <c r="B8" s="39" t="s">
        <v>18</v>
      </c>
      <c r="C8" s="55">
        <f t="shared" ref="C8:D8" si="4">SUM(C5:C6)</f>
        <v>14</v>
      </c>
      <c r="D8" s="13">
        <f t="shared" si="4"/>
        <v>0.4375</v>
      </c>
      <c r="E8" s="87">
        <v>1.617479217E9</v>
      </c>
      <c r="F8" s="64">
        <f>IFERROR(__xludf.DUMMYFUNCTION("INDEX(SPLIT(E8, char(10)), 0, 1)/86400+date(1970,1,1)"),44289.824270833335)</f>
        <v>44289.82427</v>
      </c>
      <c r="G8" s="87" t="s">
        <v>1421</v>
      </c>
      <c r="H8" s="84" t="s">
        <v>1422</v>
      </c>
      <c r="I8" s="39" t="s">
        <v>17</v>
      </c>
    </row>
    <row r="9">
      <c r="A9" s="69"/>
      <c r="B9" s="39" t="s">
        <v>47</v>
      </c>
      <c r="C9" s="55">
        <f>SUM(C6:C7)</f>
        <v>40</v>
      </c>
      <c r="D9" s="13">
        <f>SUM(D5:D6) + D2</f>
        <v>0.71875</v>
      </c>
      <c r="E9" s="87">
        <v>1.617479311E9</v>
      </c>
      <c r="F9" s="64">
        <f>IFERROR(__xludf.DUMMYFUNCTION("INDEX(SPLIT(E9, char(10)), 0, 1)/86400+date(1970,1,1)"),44289.8253587963)</f>
        <v>44289.82536</v>
      </c>
      <c r="G9" s="87" t="s">
        <v>1423</v>
      </c>
      <c r="H9" s="84" t="s">
        <v>1424</v>
      </c>
      <c r="I9" s="39" t="s">
        <v>75</v>
      </c>
    </row>
    <row r="10">
      <c r="A10" s="69"/>
      <c r="B10" s="69"/>
      <c r="C10" s="69"/>
      <c r="D10" s="69"/>
      <c r="E10" s="87">
        <v>1.617479544E9</v>
      </c>
      <c r="F10" s="64">
        <f>IFERROR(__xludf.DUMMYFUNCTION("INDEX(SPLIT(E10, char(10)), 0, 1)/86400+date(1970,1,1)"),44289.828055555554)</f>
        <v>44289.82806</v>
      </c>
      <c r="G10" s="87" t="s">
        <v>1425</v>
      </c>
      <c r="H10" s="84" t="s">
        <v>1426</v>
      </c>
      <c r="I10" s="39" t="s">
        <v>15</v>
      </c>
    </row>
    <row r="11">
      <c r="A11" s="69"/>
      <c r="B11" s="69"/>
      <c r="C11" s="69"/>
      <c r="D11" s="69"/>
      <c r="E11" s="87">
        <v>1.617479724E9</v>
      </c>
      <c r="F11" s="64">
        <f>IFERROR(__xludf.DUMMYFUNCTION("INDEX(SPLIT(E11, char(10)), 0, 1)/86400+date(1970,1,1)"),44289.830138888894)</f>
        <v>44289.83014</v>
      </c>
      <c r="G11" s="87" t="s">
        <v>1427</v>
      </c>
      <c r="H11" s="84" t="s">
        <v>1428</v>
      </c>
      <c r="I11" s="39" t="s">
        <v>17</v>
      </c>
    </row>
    <row r="12">
      <c r="A12" s="70" t="s">
        <v>123</v>
      </c>
      <c r="B12" s="91" t="s">
        <v>1429</v>
      </c>
      <c r="C12" s="69"/>
      <c r="D12" s="72"/>
      <c r="E12" s="87">
        <v>1.617479892E9</v>
      </c>
      <c r="F12" s="64">
        <f>IFERROR(__xludf.DUMMYFUNCTION("INDEX(SPLIT(E12, char(10)), 0, 1)/86400+date(1970,1,1)"),44289.832083333335)</f>
        <v>44289.83208</v>
      </c>
      <c r="G12" s="87" t="s">
        <v>1430</v>
      </c>
      <c r="H12" s="84" t="s">
        <v>1431</v>
      </c>
      <c r="I12" s="39" t="s">
        <v>15</v>
      </c>
    </row>
    <row r="13">
      <c r="A13" s="70" t="s">
        <v>127</v>
      </c>
      <c r="B13" s="72"/>
      <c r="C13" s="70" t="s">
        <v>91</v>
      </c>
      <c r="D13" s="70" t="s">
        <v>92</v>
      </c>
      <c r="E13" s="87">
        <v>1.617480305E9</v>
      </c>
      <c r="F13" s="64">
        <f>IFERROR(__xludf.DUMMYFUNCTION("INDEX(SPLIT(E13, char(10)), 0, 1)/86400+date(1970,1,1)"),44289.836863425924)</f>
        <v>44289.83686</v>
      </c>
      <c r="G13" s="87" t="s">
        <v>1432</v>
      </c>
      <c r="H13" s="84" t="s">
        <v>1433</v>
      </c>
      <c r="I13" s="39" t="s">
        <v>15</v>
      </c>
    </row>
    <row r="14">
      <c r="A14" s="5" t="s">
        <v>130</v>
      </c>
      <c r="B14" s="5" t="s">
        <v>131</v>
      </c>
      <c r="C14" s="73">
        <f t="shared" ref="C14:C17" si="5">COUNTIF($A$19:$A1000, A14)</f>
        <v>1</v>
      </c>
      <c r="D14" s="74">
        <f>IFERROR(__xludf.DUMMYFUNCTION("IF(C14, COUNTIF(FILTER($D$19:$D1000, $A$19:$A1000=A14), TRUE)/C14, 0)"),1.0)</f>
        <v>1</v>
      </c>
      <c r="E14" s="87">
        <v>1.617480655E9</v>
      </c>
      <c r="F14" s="64">
        <f>IFERROR(__xludf.DUMMYFUNCTION("INDEX(SPLIT(E14, char(10)), 0, 1)/86400+date(1970,1,1)"),44289.84091435185)</f>
        <v>44289.84091</v>
      </c>
      <c r="G14" s="87" t="s">
        <v>1434</v>
      </c>
      <c r="H14" s="84" t="s">
        <v>1435</v>
      </c>
      <c r="I14" s="39" t="s">
        <v>15</v>
      </c>
    </row>
    <row r="15">
      <c r="A15" s="5" t="s">
        <v>6</v>
      </c>
      <c r="B15" s="5" t="s">
        <v>134</v>
      </c>
      <c r="C15" s="73">
        <f t="shared" si="5"/>
        <v>3</v>
      </c>
      <c r="D15" s="74">
        <f>IFERROR(__xludf.DUMMYFUNCTION("IF(C15, COUNTIF(FILTER($D$19:$D1000, $A$19:$A1000=A15), TRUE)/C15, 0)"),0.0)</f>
        <v>0</v>
      </c>
      <c r="E15" s="87">
        <v>1.617481223E9</v>
      </c>
      <c r="F15" s="64">
        <f>IFERROR(__xludf.DUMMYFUNCTION("INDEX(SPLIT(E15, char(10)), 0, 1)/86400+date(1970,1,1)"),44289.84748842593)</f>
        <v>44289.84749</v>
      </c>
      <c r="G15" s="87" t="s">
        <v>1436</v>
      </c>
      <c r="H15" s="84" t="s">
        <v>1437</v>
      </c>
      <c r="I15" s="39" t="s">
        <v>16</v>
      </c>
    </row>
    <row r="16">
      <c r="A16" s="5" t="s">
        <v>7</v>
      </c>
      <c r="B16" s="5" t="s">
        <v>137</v>
      </c>
      <c r="C16" s="73">
        <f t="shared" si="5"/>
        <v>4</v>
      </c>
      <c r="D16" s="74">
        <f>IFERROR(__xludf.DUMMYFUNCTION("IF(C16, COUNTIF(FILTER($D$19:$D1000, $A$19:$A1000=A16), TRUE)/C16, 0)"),1.0)</f>
        <v>1</v>
      </c>
      <c r="E16" s="87">
        <v>1.61748191E9</v>
      </c>
      <c r="F16" s="64">
        <f>IFERROR(__xludf.DUMMYFUNCTION("INDEX(SPLIT(E16, char(10)), 0, 1)/86400+date(1970,1,1)"),44289.85543981481)</f>
        <v>44289.85544</v>
      </c>
      <c r="G16" s="87" t="s">
        <v>448</v>
      </c>
      <c r="H16" s="84" t="s">
        <v>1438</v>
      </c>
      <c r="I16" s="39" t="s">
        <v>75</v>
      </c>
    </row>
    <row r="17">
      <c r="A17" s="5" t="s">
        <v>8</v>
      </c>
      <c r="B17" s="5" t="s">
        <v>79</v>
      </c>
      <c r="C17" s="73">
        <f t="shared" si="5"/>
        <v>8</v>
      </c>
      <c r="D17" s="74">
        <f>IFERROR(__xludf.DUMMYFUNCTION("IF(C17, COUNTIF(FILTER($D$19:$D1000, $A$19:$A1000=A17), TRUE)/C17, 0)"),0.125)</f>
        <v>0.125</v>
      </c>
      <c r="E17" s="87">
        <v>1.617482273E9</v>
      </c>
      <c r="F17" s="64">
        <f>IFERROR(__xludf.DUMMYFUNCTION("INDEX(SPLIT(E17, char(10)), 0, 1)/86400+date(1970,1,1)"),44289.8596412037)</f>
        <v>44289.85964</v>
      </c>
      <c r="G17" s="87" t="s">
        <v>1439</v>
      </c>
      <c r="H17" s="84" t="s">
        <v>1440</v>
      </c>
      <c r="I17" s="39" t="s">
        <v>16</v>
      </c>
    </row>
    <row r="18">
      <c r="A18" s="72"/>
      <c r="B18" s="70" t="s">
        <v>9</v>
      </c>
      <c r="C18" s="73">
        <f>SUM(C14:C17)</f>
        <v>16</v>
      </c>
      <c r="D18" s="74">
        <f>COUNTIF($D$19:$D1000, TRUE)/SUM($C$14:$C$17)</f>
        <v>0.375</v>
      </c>
      <c r="E18" s="87">
        <v>1.617483044E9</v>
      </c>
      <c r="F18" s="64">
        <f>IFERROR(__xludf.DUMMYFUNCTION("INDEX(SPLIT(E18, char(10)), 0, 1)/86400+date(1970,1,1)"),44289.86856481481)</f>
        <v>44289.86856</v>
      </c>
      <c r="G18" s="87" t="s">
        <v>1441</v>
      </c>
      <c r="H18" s="84" t="s">
        <v>1442</v>
      </c>
      <c r="I18" s="39" t="s">
        <v>17</v>
      </c>
    </row>
    <row r="19">
      <c r="A19" s="70" t="s">
        <v>97</v>
      </c>
      <c r="B19" s="70" t="s">
        <v>144</v>
      </c>
      <c r="C19" s="70" t="s">
        <v>145</v>
      </c>
      <c r="D19" s="70" t="s">
        <v>146</v>
      </c>
      <c r="E19" s="87">
        <v>1.617483268E9</v>
      </c>
      <c r="F19" s="64">
        <f>IFERROR(__xludf.DUMMYFUNCTION("INDEX(SPLIT(E19, char(10)), 0, 1)/86400+date(1970,1,1)"),44289.87115740741)</f>
        <v>44289.87116</v>
      </c>
      <c r="G19" s="87" t="s">
        <v>1443</v>
      </c>
      <c r="H19" s="84" t="s">
        <v>1444</v>
      </c>
      <c r="I19" s="39" t="s">
        <v>16</v>
      </c>
    </row>
    <row r="20">
      <c r="A20" s="75" t="s">
        <v>7</v>
      </c>
      <c r="B20" s="75" t="s">
        <v>149</v>
      </c>
      <c r="C20" s="76">
        <v>1.0</v>
      </c>
      <c r="D20" s="78" t="b">
        <v>1</v>
      </c>
      <c r="E20" s="87">
        <v>1.617483368E9</v>
      </c>
      <c r="F20" s="64">
        <f>IFERROR(__xludf.DUMMYFUNCTION("INDEX(SPLIT(E20, char(10)), 0, 1)/86400+date(1970,1,1)"),44289.87231481481)</f>
        <v>44289.87231</v>
      </c>
      <c r="G20" s="87" t="s">
        <v>1445</v>
      </c>
      <c r="H20" s="84" t="s">
        <v>1446</v>
      </c>
      <c r="I20" s="39" t="s">
        <v>75</v>
      </c>
    </row>
    <row r="21">
      <c r="A21" s="75" t="s">
        <v>6</v>
      </c>
      <c r="B21" s="66" t="s">
        <v>1447</v>
      </c>
      <c r="C21" s="92">
        <v>35.0</v>
      </c>
      <c r="D21" s="78" t="b">
        <v>0</v>
      </c>
      <c r="E21" s="87">
        <v>1.617483593E9</v>
      </c>
      <c r="F21" s="64">
        <f>IFERROR(__xludf.DUMMYFUNCTION("INDEX(SPLIT(E21, char(10)), 0, 1)/86400+date(1970,1,1)"),44289.874918981484)</f>
        <v>44289.87492</v>
      </c>
      <c r="G21" s="87" t="s">
        <v>1448</v>
      </c>
      <c r="H21" s="84" t="s">
        <v>1449</v>
      </c>
      <c r="I21" s="39" t="s">
        <v>14</v>
      </c>
    </row>
    <row r="22">
      <c r="A22" s="5" t="s">
        <v>7</v>
      </c>
      <c r="B22" s="5" t="s">
        <v>155</v>
      </c>
      <c r="C22" s="76">
        <v>45.0</v>
      </c>
      <c r="D22" s="78" t="b">
        <v>1</v>
      </c>
      <c r="E22" s="87">
        <v>1.617483708E9</v>
      </c>
      <c r="F22" s="64">
        <f>IFERROR(__xludf.DUMMYFUNCTION("INDEX(SPLIT(E22, char(10)), 0, 1)/86400+date(1970,1,1)"),44289.87625)</f>
        <v>44289.87625</v>
      </c>
      <c r="G22" s="84" t="s">
        <v>1450</v>
      </c>
      <c r="H22" s="84" t="s">
        <v>1451</v>
      </c>
      <c r="I22" s="39" t="s">
        <v>75</v>
      </c>
    </row>
    <row r="23">
      <c r="A23" s="75" t="s">
        <v>7</v>
      </c>
      <c r="B23" s="72" t="s">
        <v>158</v>
      </c>
      <c r="C23" s="76">
        <v>46.0</v>
      </c>
      <c r="D23" s="78" t="b">
        <v>1</v>
      </c>
      <c r="E23" s="87">
        <v>1.617483803E9</v>
      </c>
      <c r="F23" s="64">
        <f>IFERROR(__xludf.DUMMYFUNCTION("INDEX(SPLIT(E23, char(10)), 0, 1)/86400+date(1970,1,1)"),44289.87734953704)</f>
        <v>44289.87735</v>
      </c>
      <c r="G23" s="84" t="s">
        <v>1452</v>
      </c>
      <c r="H23" s="84" t="s">
        <v>1453</v>
      </c>
      <c r="I23" s="39" t="s">
        <v>17</v>
      </c>
    </row>
    <row r="24">
      <c r="A24" s="75" t="s">
        <v>6</v>
      </c>
      <c r="B24" s="39" t="s">
        <v>1454</v>
      </c>
      <c r="C24" s="39">
        <v>62.0</v>
      </c>
      <c r="D24" s="78" t="b">
        <v>0</v>
      </c>
      <c r="E24" s="87">
        <v>1.617484096E9</v>
      </c>
      <c r="F24" s="64">
        <f>IFERROR(__xludf.DUMMYFUNCTION("INDEX(SPLIT(E24, char(10)), 0, 1)/86400+date(1970,1,1)"),44289.880740740744)</f>
        <v>44289.88074</v>
      </c>
      <c r="G24" s="84" t="s">
        <v>1455</v>
      </c>
      <c r="H24" s="84" t="s">
        <v>1456</v>
      </c>
      <c r="I24" s="39" t="s">
        <v>75</v>
      </c>
    </row>
    <row r="25">
      <c r="A25" s="75" t="s">
        <v>130</v>
      </c>
      <c r="B25" s="39" t="s">
        <v>1457</v>
      </c>
      <c r="C25" s="39">
        <v>63.0</v>
      </c>
      <c r="D25" s="78" t="b">
        <v>1</v>
      </c>
      <c r="E25" s="87">
        <v>1.617484211E9</v>
      </c>
      <c r="F25" s="64">
        <f>IFERROR(__xludf.DUMMYFUNCTION("INDEX(SPLIT(E25, char(10)), 0, 1)/86400+date(1970,1,1)"),44289.88207175926)</f>
        <v>44289.88207</v>
      </c>
      <c r="G25" s="84" t="s">
        <v>1458</v>
      </c>
      <c r="H25" s="84" t="s">
        <v>1459</v>
      </c>
      <c r="I25" s="39" t="s">
        <v>15</v>
      </c>
    </row>
    <row r="26">
      <c r="A26" s="66" t="s">
        <v>8</v>
      </c>
      <c r="B26" s="66" t="s">
        <v>1460</v>
      </c>
      <c r="C26" s="92">
        <v>68.0</v>
      </c>
      <c r="D26" s="78" t="b">
        <v>0</v>
      </c>
      <c r="E26" s="87">
        <v>1.617484422E9</v>
      </c>
      <c r="F26" s="64">
        <f>IFERROR(__xludf.DUMMYFUNCTION("INDEX(SPLIT(E26, char(10)), 0, 1)/86400+date(1970,1,1)"),44289.88451388889)</f>
        <v>44289.88451</v>
      </c>
      <c r="G26" s="84" t="s">
        <v>1461</v>
      </c>
      <c r="H26" s="84" t="s">
        <v>1462</v>
      </c>
      <c r="I26" s="39" t="s">
        <v>17</v>
      </c>
    </row>
    <row r="27">
      <c r="A27" s="75" t="s">
        <v>6</v>
      </c>
      <c r="B27" s="66" t="s">
        <v>1463</v>
      </c>
      <c r="C27" s="92">
        <v>71.0</v>
      </c>
      <c r="D27" s="78" t="b">
        <v>0</v>
      </c>
      <c r="E27" s="87">
        <v>1.617484604E9</v>
      </c>
      <c r="F27" s="64">
        <f>IFERROR(__xludf.DUMMYFUNCTION("INDEX(SPLIT(E27, char(10)), 0, 1)/86400+date(1970,1,1)"),44289.886620370366)</f>
        <v>44289.88662</v>
      </c>
      <c r="G27" s="84" t="s">
        <v>1464</v>
      </c>
      <c r="H27" s="84" t="s">
        <v>1465</v>
      </c>
      <c r="I27" s="39" t="s">
        <v>17</v>
      </c>
    </row>
    <row r="28">
      <c r="A28" s="66" t="s">
        <v>8</v>
      </c>
      <c r="B28" s="66" t="s">
        <v>1466</v>
      </c>
      <c r="C28" s="92">
        <v>76.0</v>
      </c>
      <c r="D28" s="78" t="b">
        <v>0</v>
      </c>
      <c r="E28" s="87">
        <v>1.617484824E9</v>
      </c>
      <c r="F28" s="64">
        <f>IFERROR(__xludf.DUMMYFUNCTION("INDEX(SPLIT(E28, char(10)), 0, 1)/86400+date(1970,1,1)"),44289.88916666667)</f>
        <v>44289.88917</v>
      </c>
      <c r="G28" s="84" t="s">
        <v>1467</v>
      </c>
      <c r="H28" s="84" t="s">
        <v>1468</v>
      </c>
      <c r="I28" s="39" t="s">
        <v>75</v>
      </c>
    </row>
    <row r="29">
      <c r="A29" s="66" t="s">
        <v>8</v>
      </c>
      <c r="B29" s="66" t="s">
        <v>1469</v>
      </c>
      <c r="C29" s="92">
        <v>76.0</v>
      </c>
      <c r="D29" s="78" t="b">
        <v>0</v>
      </c>
      <c r="E29" s="87">
        <v>1.617484934E9</v>
      </c>
      <c r="F29" s="64">
        <f>IFERROR(__xludf.DUMMYFUNCTION("INDEX(SPLIT(E29, char(10)), 0, 1)/86400+date(1970,1,1)"),44289.890439814815)</f>
        <v>44289.89044</v>
      </c>
      <c r="G29" s="84" t="s">
        <v>1470</v>
      </c>
      <c r="H29" s="84" t="s">
        <v>1471</v>
      </c>
      <c r="I29" s="39" t="s">
        <v>15</v>
      </c>
    </row>
    <row r="30">
      <c r="A30" s="66" t="s">
        <v>8</v>
      </c>
      <c r="B30" s="66" t="s">
        <v>1472</v>
      </c>
      <c r="C30" s="92">
        <v>85.0</v>
      </c>
      <c r="D30" s="78" t="b">
        <v>0</v>
      </c>
      <c r="E30" s="87">
        <v>1.61748506E9</v>
      </c>
      <c r="F30" s="64">
        <f>IFERROR(__xludf.DUMMYFUNCTION("INDEX(SPLIT(E30, char(10)), 0, 1)/86400+date(1970,1,1)"),44289.89189814815)</f>
        <v>44289.8919</v>
      </c>
      <c r="G30" s="84" t="s">
        <v>1473</v>
      </c>
      <c r="H30" s="84" t="s">
        <v>1474</v>
      </c>
      <c r="I30" s="39" t="s">
        <v>75</v>
      </c>
    </row>
    <row r="31">
      <c r="A31" s="66" t="s">
        <v>8</v>
      </c>
      <c r="B31" s="66" t="s">
        <v>1475</v>
      </c>
      <c r="C31" s="92">
        <v>89.0</v>
      </c>
      <c r="D31" s="78" t="b">
        <v>0</v>
      </c>
      <c r="E31" s="87">
        <v>1.617485205E9</v>
      </c>
      <c r="F31" s="64">
        <f>IFERROR(__xludf.DUMMYFUNCTION("INDEX(SPLIT(E31, char(10)), 0, 1)/86400+date(1970,1,1)"),44289.89357638889)</f>
        <v>44289.89358</v>
      </c>
      <c r="G31" s="84" t="s">
        <v>1476</v>
      </c>
      <c r="H31" s="84" t="s">
        <v>1477</v>
      </c>
      <c r="I31" s="39" t="s">
        <v>16</v>
      </c>
    </row>
    <row r="32">
      <c r="A32" s="66" t="s">
        <v>8</v>
      </c>
      <c r="B32" s="66" t="s">
        <v>1478</v>
      </c>
      <c r="C32" s="92">
        <v>89.0</v>
      </c>
      <c r="D32" s="78" t="b">
        <v>0</v>
      </c>
      <c r="E32" s="87">
        <v>1.617485413E9</v>
      </c>
      <c r="F32" s="64">
        <f>IFERROR(__xludf.DUMMYFUNCTION("INDEX(SPLIT(E32, char(10)), 0, 1)/86400+date(1970,1,1)"),44289.8959837963)</f>
        <v>44289.89598</v>
      </c>
      <c r="G32" s="84" t="s">
        <v>1479</v>
      </c>
      <c r="H32" s="84" t="s">
        <v>1480</v>
      </c>
      <c r="I32" s="39" t="s">
        <v>16</v>
      </c>
    </row>
    <row r="33">
      <c r="A33" s="66" t="s">
        <v>8</v>
      </c>
      <c r="B33" s="66" t="s">
        <v>1481</v>
      </c>
      <c r="C33" s="92">
        <v>93.0</v>
      </c>
      <c r="D33" s="78" t="b">
        <v>1</v>
      </c>
      <c r="E33" s="87">
        <v>1.617485509E9</v>
      </c>
      <c r="F33" s="64">
        <f>IFERROR(__xludf.DUMMYFUNCTION("INDEX(SPLIT(E33, char(10)), 0, 1)/86400+date(1970,1,1)"),44289.89709490741)</f>
        <v>44289.89709</v>
      </c>
      <c r="G33" s="84" t="s">
        <v>1482</v>
      </c>
      <c r="H33" s="84" t="s">
        <v>1483</v>
      </c>
      <c r="I33" s="39" t="s">
        <v>17</v>
      </c>
    </row>
    <row r="34">
      <c r="A34" s="66" t="s">
        <v>8</v>
      </c>
      <c r="B34" s="66" t="s">
        <v>1484</v>
      </c>
      <c r="C34" s="92">
        <v>93.0</v>
      </c>
      <c r="D34" s="78" t="b">
        <v>0</v>
      </c>
      <c r="F34" s="64"/>
      <c r="G34" s="84"/>
      <c r="H34" s="84"/>
      <c r="I34" s="40"/>
    </row>
    <row r="35">
      <c r="A35" s="75" t="s">
        <v>7</v>
      </c>
      <c r="B35" s="72" t="s">
        <v>183</v>
      </c>
      <c r="C35" s="76">
        <v>90.0</v>
      </c>
      <c r="D35" s="78" t="b">
        <v>1</v>
      </c>
      <c r="F35" s="64"/>
      <c r="G35" s="84"/>
      <c r="H35" s="84"/>
      <c r="I35" s="40"/>
    </row>
    <row r="36">
      <c r="A36" s="75"/>
      <c r="B36" s="72"/>
      <c r="C36" s="76"/>
      <c r="D36" s="78"/>
      <c r="F36" s="64"/>
      <c r="G36" s="84"/>
      <c r="H36" s="84"/>
      <c r="I36" s="40"/>
    </row>
    <row r="37">
      <c r="A37" s="75"/>
      <c r="B37" s="72"/>
      <c r="C37" s="76"/>
      <c r="D37" s="78"/>
      <c r="F37" s="64"/>
      <c r="G37" s="84"/>
      <c r="H37" s="84"/>
      <c r="I37" s="40"/>
    </row>
    <row r="38">
      <c r="A38" s="66"/>
      <c r="B38" s="66"/>
      <c r="C38" s="92"/>
      <c r="D38" s="78"/>
      <c r="F38" s="64"/>
      <c r="G38" s="84"/>
      <c r="H38" s="84"/>
      <c r="I38" s="40"/>
    </row>
    <row r="39">
      <c r="A39" s="66"/>
      <c r="B39" s="66"/>
      <c r="C39" s="92"/>
      <c r="D39" s="78"/>
      <c r="F39" s="64"/>
      <c r="G39" s="84"/>
      <c r="H39" s="84"/>
      <c r="I39" s="40"/>
    </row>
    <row r="40">
      <c r="A40" s="66"/>
      <c r="B40" s="66"/>
      <c r="C40" s="92"/>
      <c r="D40" s="78"/>
      <c r="F40" s="64"/>
      <c r="G40" s="84"/>
      <c r="H40" s="84"/>
      <c r="I40" s="40"/>
    </row>
    <row r="41">
      <c r="A41" s="66"/>
      <c r="B41" s="66"/>
      <c r="C41" s="92"/>
      <c r="D41" s="78"/>
      <c r="F41" s="64"/>
      <c r="G41" s="84"/>
      <c r="H41" s="84"/>
      <c r="I41" s="40"/>
    </row>
    <row r="42">
      <c r="A42" s="66"/>
      <c r="B42" s="66"/>
      <c r="C42" s="92"/>
      <c r="D42" s="78"/>
      <c r="F42" s="64"/>
      <c r="G42" s="84"/>
      <c r="H42" s="84"/>
      <c r="I42" s="40"/>
    </row>
    <row r="43">
      <c r="F43" s="64"/>
      <c r="G43" s="84"/>
      <c r="H43" s="84"/>
      <c r="I43" s="40"/>
    </row>
    <row r="44">
      <c r="F44" s="64"/>
      <c r="G44" s="84"/>
      <c r="H44" s="84"/>
      <c r="I44" s="40"/>
    </row>
    <row r="45">
      <c r="F45" s="64"/>
      <c r="G45" s="81"/>
      <c r="H45" s="84"/>
      <c r="I45" s="40"/>
    </row>
    <row r="46">
      <c r="F46" s="64"/>
      <c r="G46" s="81"/>
      <c r="H46" s="84"/>
      <c r="I46" s="40"/>
    </row>
    <row r="47">
      <c r="F47" s="64"/>
      <c r="G47" s="81"/>
      <c r="H47" s="84"/>
      <c r="I47" s="40"/>
    </row>
    <row r="48">
      <c r="F48" s="64"/>
      <c r="G48" s="81"/>
      <c r="H48" s="84"/>
      <c r="I48" s="40"/>
    </row>
    <row r="49">
      <c r="F49" s="64"/>
      <c r="G49" s="81"/>
      <c r="H49" s="84"/>
      <c r="I49" s="40"/>
    </row>
    <row r="50">
      <c r="F50" s="64"/>
      <c r="G50" s="81"/>
      <c r="H50" s="84"/>
      <c r="I50" s="40"/>
    </row>
    <row r="51">
      <c r="F51" s="64"/>
      <c r="G51" s="81"/>
      <c r="H51" s="84"/>
      <c r="I51" s="40"/>
    </row>
    <row r="52">
      <c r="F52" s="64"/>
      <c r="G52" s="83"/>
      <c r="H52" s="84"/>
    </row>
    <row r="53">
      <c r="F53" s="64"/>
      <c r="G53" s="83"/>
      <c r="H53" s="84"/>
    </row>
    <row r="54">
      <c r="F54" s="64"/>
      <c r="G54" s="83"/>
      <c r="H54" s="84"/>
    </row>
    <row r="55">
      <c r="F55" s="64"/>
      <c r="G55" s="83"/>
      <c r="H55" s="84"/>
    </row>
    <row r="56">
      <c r="F56" s="64"/>
      <c r="G56" s="83"/>
      <c r="H56" s="84"/>
    </row>
    <row r="57">
      <c r="F57" s="64"/>
      <c r="G57" s="83"/>
      <c r="H57" s="84"/>
    </row>
    <row r="58">
      <c r="F58" s="64"/>
      <c r="G58" s="83"/>
      <c r="H58" s="84"/>
    </row>
    <row r="59">
      <c r="F59" s="64"/>
      <c r="G59" s="83"/>
      <c r="H59" s="84"/>
    </row>
    <row r="60">
      <c r="F60" s="64"/>
      <c r="G60" s="83"/>
      <c r="H60" s="84"/>
    </row>
    <row r="61">
      <c r="F61" s="64"/>
      <c r="G61" s="83"/>
      <c r="H61" s="84"/>
    </row>
    <row r="62">
      <c r="F62" s="64"/>
      <c r="G62" s="83"/>
      <c r="H62" s="84"/>
    </row>
    <row r="63">
      <c r="F63" s="64"/>
      <c r="G63" s="83"/>
      <c r="H63" s="84"/>
    </row>
    <row r="64">
      <c r="F64" s="64"/>
      <c r="G64" s="83"/>
      <c r="H64" s="84"/>
    </row>
    <row r="65">
      <c r="F65" s="64"/>
      <c r="G65" s="83"/>
      <c r="H65" s="84"/>
    </row>
    <row r="66">
      <c r="F66" s="64"/>
      <c r="G66" s="83"/>
      <c r="H66" s="84"/>
    </row>
    <row r="67">
      <c r="F67" s="64"/>
      <c r="G67" s="83"/>
      <c r="H67" s="84"/>
    </row>
    <row r="68">
      <c r="F68" s="64"/>
      <c r="G68" s="83"/>
      <c r="H68" s="84"/>
    </row>
    <row r="69">
      <c r="F69" s="64"/>
      <c r="G69" s="83"/>
      <c r="H69" s="84"/>
    </row>
    <row r="70">
      <c r="F70" s="64"/>
      <c r="G70" s="83"/>
      <c r="H70" s="84"/>
    </row>
    <row r="71">
      <c r="F71" s="64"/>
      <c r="G71" s="83"/>
      <c r="H71" s="84"/>
    </row>
    <row r="72">
      <c r="F72" s="64"/>
      <c r="G72" s="83"/>
      <c r="H72" s="84"/>
    </row>
    <row r="73">
      <c r="F73" s="64"/>
      <c r="G73" s="83"/>
      <c r="H73" s="84"/>
    </row>
    <row r="74">
      <c r="F74" s="64"/>
      <c r="G74" s="83"/>
      <c r="H74" s="84"/>
    </row>
    <row r="75">
      <c r="F75" s="64"/>
      <c r="G75" s="83"/>
      <c r="H75" s="84"/>
    </row>
    <row r="76">
      <c r="F76" s="64"/>
      <c r="G76" s="83"/>
      <c r="H76" s="84"/>
    </row>
    <row r="77">
      <c r="F77" s="64"/>
      <c r="G77" s="83"/>
      <c r="H77" s="84"/>
    </row>
    <row r="78">
      <c r="F78" s="64"/>
      <c r="G78" s="83"/>
      <c r="H78" s="84"/>
    </row>
    <row r="79">
      <c r="F79" s="64"/>
      <c r="G79" s="83"/>
      <c r="H79" s="84"/>
    </row>
    <row r="80">
      <c r="F80" s="64"/>
      <c r="G80" s="83"/>
      <c r="H80" s="84"/>
    </row>
    <row r="81">
      <c r="F81" s="64"/>
      <c r="G81" s="83"/>
      <c r="H81" s="84"/>
    </row>
    <row r="82">
      <c r="F82" s="64"/>
      <c r="G82" s="83"/>
      <c r="H82" s="84"/>
    </row>
    <row r="83">
      <c r="F83" s="64"/>
      <c r="G83" s="83"/>
      <c r="H83" s="84"/>
    </row>
    <row r="84">
      <c r="F84" s="64"/>
      <c r="G84" s="83"/>
      <c r="H84" s="84"/>
    </row>
    <row r="85">
      <c r="F85" s="64"/>
      <c r="G85" s="83"/>
      <c r="H85" s="84"/>
    </row>
    <row r="86">
      <c r="F86" s="64"/>
      <c r="G86" s="83"/>
      <c r="H86" s="84"/>
    </row>
    <row r="87">
      <c r="F87" s="64"/>
      <c r="G87" s="83"/>
      <c r="H87" s="84"/>
    </row>
    <row r="88">
      <c r="F88" s="64"/>
      <c r="G88" s="83"/>
      <c r="H88" s="84"/>
    </row>
    <row r="89">
      <c r="F89" s="64"/>
      <c r="G89" s="83"/>
      <c r="H89" s="84"/>
    </row>
    <row r="90">
      <c r="F90" s="64"/>
      <c r="G90" s="83"/>
      <c r="H90" s="84"/>
    </row>
    <row r="91">
      <c r="F91" s="64"/>
      <c r="G91" s="83"/>
      <c r="H91" s="84"/>
    </row>
    <row r="92">
      <c r="F92" s="64"/>
      <c r="G92" s="83"/>
      <c r="H92" s="84"/>
    </row>
    <row r="93">
      <c r="F93" s="64"/>
      <c r="G93" s="83"/>
      <c r="H93" s="84"/>
    </row>
    <row r="94">
      <c r="F94" s="64"/>
      <c r="G94" s="83"/>
      <c r="H94" s="84"/>
    </row>
    <row r="95">
      <c r="F95" s="64"/>
      <c r="G95" s="83"/>
      <c r="H95" s="84"/>
    </row>
    <row r="96">
      <c r="F96" s="64"/>
      <c r="G96" s="83"/>
      <c r="H96" s="84"/>
    </row>
    <row r="97">
      <c r="F97" s="64"/>
      <c r="G97" s="83"/>
      <c r="H97" s="84"/>
    </row>
    <row r="98">
      <c r="F98" s="64"/>
      <c r="G98" s="83"/>
      <c r="H98" s="84"/>
    </row>
    <row r="99">
      <c r="F99" s="64"/>
      <c r="G99" s="83"/>
      <c r="H99" s="84"/>
    </row>
    <row r="100">
      <c r="F100" s="64"/>
      <c r="G100" s="83"/>
      <c r="H100" s="84"/>
    </row>
    <row r="101">
      <c r="F101" s="64"/>
      <c r="G101" s="83"/>
      <c r="H101" s="84"/>
    </row>
    <row r="102">
      <c r="F102" s="64"/>
      <c r="G102" s="83"/>
      <c r="H102" s="84"/>
    </row>
    <row r="103">
      <c r="F103" s="64"/>
      <c r="G103" s="83"/>
      <c r="H103" s="84"/>
    </row>
    <row r="104">
      <c r="F104" s="64"/>
      <c r="G104" s="83"/>
      <c r="H104" s="84"/>
    </row>
    <row r="105">
      <c r="F105" s="64"/>
      <c r="G105" s="83"/>
      <c r="H105" s="84"/>
    </row>
    <row r="106">
      <c r="F106" s="64"/>
      <c r="G106" s="83"/>
      <c r="H106" s="84"/>
    </row>
    <row r="107">
      <c r="F107" s="64"/>
      <c r="G107" s="83"/>
      <c r="H107" s="84"/>
    </row>
    <row r="108">
      <c r="F108" s="64"/>
      <c r="G108" s="83"/>
      <c r="H108" s="84"/>
    </row>
    <row r="109">
      <c r="F109" s="64"/>
      <c r="G109" s="83"/>
      <c r="H109" s="84"/>
    </row>
    <row r="110">
      <c r="F110" s="64"/>
      <c r="G110" s="83"/>
      <c r="H110" s="84"/>
    </row>
    <row r="111">
      <c r="F111" s="64"/>
      <c r="G111" s="83"/>
      <c r="H111" s="84"/>
    </row>
    <row r="112">
      <c r="F112" s="64"/>
      <c r="G112" s="83"/>
      <c r="H112" s="84"/>
    </row>
    <row r="113">
      <c r="F113" s="64"/>
      <c r="G113" s="83"/>
      <c r="H113" s="84"/>
    </row>
    <row r="114">
      <c r="F114" s="64"/>
      <c r="G114" s="83"/>
      <c r="H114" s="84"/>
    </row>
    <row r="115">
      <c r="F115" s="64"/>
      <c r="G115" s="83"/>
      <c r="H115" s="84"/>
    </row>
    <row r="116">
      <c r="F116" s="64"/>
      <c r="G116" s="83"/>
      <c r="H116" s="84"/>
    </row>
    <row r="117">
      <c r="F117" s="64"/>
      <c r="G117" s="83"/>
      <c r="H117" s="84"/>
    </row>
    <row r="118">
      <c r="F118" s="64"/>
      <c r="G118" s="83"/>
      <c r="H118" s="84"/>
    </row>
    <row r="119">
      <c r="F119" s="64"/>
      <c r="G119" s="83"/>
      <c r="H119" s="84"/>
    </row>
    <row r="120">
      <c r="F120" s="64"/>
      <c r="G120" s="83"/>
      <c r="H120" s="84"/>
    </row>
    <row r="121">
      <c r="F121" s="64"/>
      <c r="G121" s="83"/>
      <c r="H121" s="84"/>
    </row>
    <row r="122">
      <c r="F122" s="64"/>
      <c r="G122" s="83"/>
      <c r="H122" s="84"/>
    </row>
    <row r="123">
      <c r="F123" s="64"/>
      <c r="G123" s="83"/>
      <c r="H123" s="84"/>
    </row>
    <row r="124">
      <c r="F124" s="64"/>
      <c r="G124" s="83"/>
      <c r="H124" s="84"/>
    </row>
    <row r="125">
      <c r="F125" s="64"/>
      <c r="G125" s="83"/>
      <c r="H125" s="84"/>
    </row>
    <row r="126">
      <c r="F126" s="64"/>
      <c r="G126" s="83"/>
      <c r="H126" s="84"/>
    </row>
    <row r="127">
      <c r="F127" s="64"/>
      <c r="G127" s="83"/>
      <c r="H127" s="84"/>
    </row>
    <row r="128">
      <c r="F128" s="64"/>
      <c r="G128" s="83"/>
      <c r="H128" s="84"/>
    </row>
    <row r="129">
      <c r="F129" s="64"/>
      <c r="G129" s="83"/>
      <c r="H129" s="84"/>
    </row>
    <row r="130">
      <c r="F130" s="64"/>
      <c r="G130" s="83"/>
      <c r="H130" s="84"/>
    </row>
    <row r="131">
      <c r="F131" s="64"/>
      <c r="G131" s="83"/>
      <c r="H131" s="84"/>
    </row>
    <row r="132">
      <c r="F132" s="64"/>
      <c r="G132" s="83"/>
      <c r="H132" s="84"/>
    </row>
    <row r="133">
      <c r="F133" s="64"/>
      <c r="G133" s="83"/>
      <c r="H133" s="84"/>
    </row>
    <row r="134">
      <c r="F134" s="64"/>
      <c r="G134" s="83"/>
      <c r="H134" s="84"/>
    </row>
    <row r="135">
      <c r="F135" s="64"/>
      <c r="G135" s="83"/>
      <c r="H135" s="84"/>
    </row>
    <row r="136">
      <c r="F136" s="64"/>
      <c r="G136" s="83"/>
      <c r="H136" s="84"/>
    </row>
    <row r="137">
      <c r="F137" s="64"/>
      <c r="G137" s="83"/>
      <c r="H137" s="84"/>
    </row>
    <row r="138">
      <c r="F138" s="64"/>
      <c r="G138" s="83"/>
      <c r="H138" s="84"/>
    </row>
    <row r="139">
      <c r="F139" s="64"/>
      <c r="G139" s="83"/>
      <c r="H139" s="84"/>
    </row>
    <row r="140">
      <c r="F140" s="64"/>
      <c r="G140" s="83"/>
      <c r="H140" s="84"/>
    </row>
    <row r="141">
      <c r="F141" s="64"/>
      <c r="G141" s="83"/>
      <c r="H141" s="84"/>
    </row>
    <row r="142">
      <c r="F142" s="64"/>
      <c r="G142" s="83"/>
      <c r="H142" s="84"/>
    </row>
    <row r="143">
      <c r="F143" s="64"/>
      <c r="G143" s="83"/>
      <c r="H143" s="84"/>
    </row>
    <row r="144">
      <c r="F144" s="64"/>
      <c r="G144" s="83"/>
      <c r="H144" s="84"/>
    </row>
    <row r="145">
      <c r="F145" s="64"/>
      <c r="G145" s="83"/>
      <c r="H145" s="84"/>
    </row>
    <row r="146">
      <c r="F146" s="64"/>
      <c r="G146" s="83"/>
      <c r="H146" s="84"/>
    </row>
    <row r="147">
      <c r="F147" s="64"/>
      <c r="G147" s="83"/>
      <c r="H147" s="84"/>
    </row>
    <row r="148">
      <c r="F148" s="64"/>
      <c r="G148" s="83"/>
      <c r="H148" s="84"/>
    </row>
    <row r="149">
      <c r="F149" s="64"/>
      <c r="G149" s="83"/>
      <c r="H149" s="84"/>
    </row>
    <row r="150">
      <c r="F150" s="64"/>
      <c r="G150" s="83"/>
      <c r="H150" s="84"/>
    </row>
    <row r="151">
      <c r="F151" s="64"/>
      <c r="G151" s="83"/>
      <c r="H151" s="84"/>
    </row>
    <row r="152">
      <c r="F152" s="64"/>
      <c r="G152" s="83"/>
      <c r="H152" s="84"/>
    </row>
    <row r="153">
      <c r="F153" s="64"/>
      <c r="G153" s="83"/>
      <c r="H153" s="84"/>
    </row>
    <row r="154">
      <c r="F154" s="64"/>
      <c r="G154" s="83"/>
      <c r="H154" s="84"/>
    </row>
    <row r="155">
      <c r="F155" s="64"/>
      <c r="G155" s="83"/>
      <c r="H155" s="84"/>
    </row>
    <row r="156">
      <c r="F156" s="64"/>
      <c r="G156" s="83"/>
      <c r="H156" s="84"/>
    </row>
    <row r="157">
      <c r="F157" s="64"/>
      <c r="G157" s="83"/>
      <c r="H157" s="84"/>
    </row>
    <row r="158">
      <c r="F158" s="64"/>
      <c r="G158" s="83"/>
      <c r="H158" s="84"/>
    </row>
    <row r="159">
      <c r="F159" s="64"/>
      <c r="G159" s="83"/>
      <c r="H159" s="84"/>
    </row>
    <row r="160">
      <c r="F160" s="64"/>
      <c r="G160" s="83"/>
      <c r="H160" s="84"/>
    </row>
    <row r="161">
      <c r="F161" s="64"/>
      <c r="G161" s="83"/>
      <c r="H161" s="84"/>
    </row>
    <row r="162">
      <c r="F162" s="64"/>
      <c r="G162" s="83"/>
      <c r="H162" s="84"/>
    </row>
    <row r="163">
      <c r="F163" s="64"/>
      <c r="G163" s="83"/>
      <c r="H163" s="84"/>
    </row>
    <row r="164">
      <c r="F164" s="64"/>
      <c r="G164" s="83"/>
      <c r="H164" s="84"/>
    </row>
    <row r="165">
      <c r="F165" s="64"/>
      <c r="G165" s="83"/>
      <c r="H165" s="84"/>
    </row>
    <row r="166">
      <c r="F166" s="64"/>
      <c r="G166" s="83"/>
      <c r="H166" s="84"/>
    </row>
    <row r="167">
      <c r="F167" s="64"/>
      <c r="G167" s="83"/>
      <c r="H167" s="84"/>
    </row>
    <row r="168">
      <c r="F168" s="64"/>
      <c r="G168" s="83"/>
      <c r="H168" s="84"/>
    </row>
    <row r="169">
      <c r="F169" s="64"/>
      <c r="G169" s="83"/>
      <c r="H169" s="84"/>
    </row>
    <row r="170">
      <c r="F170" s="64"/>
      <c r="G170" s="83"/>
      <c r="H170" s="84"/>
    </row>
    <row r="171">
      <c r="F171" s="64"/>
      <c r="G171" s="83"/>
      <c r="H171" s="84"/>
    </row>
    <row r="172">
      <c r="F172" s="64"/>
      <c r="G172" s="83"/>
      <c r="H172" s="84"/>
    </row>
    <row r="173">
      <c r="F173" s="64"/>
      <c r="G173" s="83"/>
      <c r="H173" s="84"/>
    </row>
    <row r="174">
      <c r="F174" s="64"/>
      <c r="G174" s="83"/>
      <c r="H174" s="84"/>
    </row>
    <row r="175">
      <c r="F175" s="64"/>
      <c r="G175" s="83"/>
      <c r="H175" s="84"/>
    </row>
    <row r="176">
      <c r="F176" s="64"/>
      <c r="G176" s="83"/>
      <c r="H176" s="84"/>
    </row>
    <row r="177">
      <c r="F177" s="64"/>
      <c r="G177" s="83"/>
      <c r="H177" s="84"/>
    </row>
    <row r="178">
      <c r="F178" s="64"/>
      <c r="G178" s="83"/>
      <c r="H178" s="84"/>
    </row>
    <row r="179">
      <c r="F179" s="64"/>
      <c r="G179" s="83"/>
      <c r="H179" s="84"/>
    </row>
    <row r="180">
      <c r="F180" s="64"/>
      <c r="G180" s="83"/>
      <c r="H180" s="84"/>
    </row>
    <row r="181">
      <c r="F181" s="64"/>
      <c r="G181" s="83"/>
      <c r="H181" s="84"/>
    </row>
    <row r="182">
      <c r="F182" s="64"/>
      <c r="G182" s="83"/>
      <c r="H182" s="84"/>
    </row>
    <row r="183">
      <c r="F183" s="64"/>
      <c r="G183" s="83"/>
      <c r="H183" s="84"/>
    </row>
    <row r="184">
      <c r="F184" s="64"/>
      <c r="G184" s="83"/>
      <c r="H184" s="84"/>
    </row>
    <row r="185">
      <c r="F185" s="64"/>
      <c r="G185" s="83"/>
      <c r="H185" s="84"/>
    </row>
    <row r="186">
      <c r="F186" s="64"/>
      <c r="G186" s="83"/>
      <c r="H186" s="84"/>
    </row>
    <row r="187">
      <c r="F187" s="64"/>
      <c r="G187" s="83"/>
      <c r="H187" s="84"/>
    </row>
    <row r="188">
      <c r="F188" s="64"/>
      <c r="G188" s="83"/>
      <c r="H188" s="84"/>
    </row>
    <row r="189">
      <c r="F189" s="64"/>
      <c r="G189" s="83"/>
      <c r="H189" s="84"/>
    </row>
    <row r="190">
      <c r="F190" s="64"/>
      <c r="G190" s="83"/>
      <c r="H190" s="84"/>
    </row>
    <row r="191">
      <c r="F191" s="64"/>
      <c r="G191" s="83"/>
      <c r="H191" s="84"/>
    </row>
    <row r="192">
      <c r="F192" s="64"/>
      <c r="G192" s="83"/>
      <c r="H192" s="84"/>
    </row>
    <row r="193">
      <c r="F193" s="64"/>
      <c r="G193" s="83"/>
      <c r="H193" s="84"/>
    </row>
    <row r="194">
      <c r="F194" s="64"/>
      <c r="G194" s="83"/>
      <c r="H194" s="84"/>
    </row>
    <row r="195">
      <c r="F195" s="64"/>
      <c r="G195" s="83"/>
      <c r="H195" s="84"/>
    </row>
    <row r="196">
      <c r="F196" s="64"/>
      <c r="G196" s="83"/>
      <c r="H196" s="84"/>
    </row>
    <row r="197">
      <c r="F197" s="64"/>
      <c r="G197" s="83"/>
      <c r="H197" s="84"/>
    </row>
    <row r="198">
      <c r="F198" s="64"/>
      <c r="G198" s="83"/>
      <c r="H198" s="84"/>
    </row>
    <row r="199">
      <c r="F199" s="64"/>
      <c r="G199" s="83"/>
      <c r="H199" s="84"/>
    </row>
    <row r="200">
      <c r="F200" s="64"/>
      <c r="G200" s="83"/>
      <c r="H200" s="84"/>
    </row>
    <row r="201">
      <c r="F201" s="64"/>
      <c r="G201" s="83"/>
      <c r="H201" s="84"/>
    </row>
    <row r="202">
      <c r="F202" s="64"/>
      <c r="G202" s="83"/>
      <c r="H202" s="84"/>
    </row>
    <row r="203">
      <c r="F203" s="64"/>
      <c r="G203" s="83"/>
      <c r="H203" s="84"/>
    </row>
    <row r="204">
      <c r="F204" s="64"/>
      <c r="G204" s="83"/>
      <c r="H204" s="84"/>
    </row>
    <row r="205">
      <c r="F205" s="64"/>
      <c r="G205" s="83"/>
      <c r="H205" s="84"/>
    </row>
    <row r="206">
      <c r="F206" s="64"/>
      <c r="G206" s="83"/>
      <c r="H206" s="84"/>
    </row>
    <row r="207">
      <c r="F207" s="64"/>
      <c r="G207" s="83"/>
      <c r="H207" s="84"/>
    </row>
    <row r="208">
      <c r="F208" s="64"/>
      <c r="G208" s="83"/>
      <c r="H208" s="84"/>
    </row>
    <row r="209">
      <c r="F209" s="64"/>
      <c r="G209" s="83"/>
      <c r="H209" s="84"/>
    </row>
    <row r="210">
      <c r="F210" s="64"/>
      <c r="G210" s="83"/>
      <c r="H210" s="84"/>
    </row>
    <row r="211">
      <c r="F211" s="64"/>
      <c r="G211" s="83"/>
      <c r="H211" s="84"/>
    </row>
    <row r="212">
      <c r="F212" s="64"/>
      <c r="G212" s="83"/>
      <c r="H212" s="84"/>
    </row>
    <row r="213">
      <c r="F213" s="64"/>
      <c r="G213" s="83"/>
      <c r="H213" s="84"/>
    </row>
    <row r="214">
      <c r="F214" s="64"/>
      <c r="G214" s="83"/>
      <c r="H214" s="84"/>
    </row>
    <row r="215">
      <c r="F215" s="64"/>
      <c r="G215" s="83"/>
      <c r="H215" s="84"/>
    </row>
    <row r="216">
      <c r="F216" s="64"/>
      <c r="G216" s="83"/>
      <c r="H216" s="84"/>
    </row>
    <row r="217">
      <c r="F217" s="64"/>
      <c r="G217" s="83"/>
      <c r="H217" s="84"/>
    </row>
    <row r="218">
      <c r="F218" s="64"/>
      <c r="G218" s="83"/>
      <c r="H218" s="84"/>
    </row>
    <row r="219">
      <c r="F219" s="64"/>
      <c r="G219" s="83"/>
      <c r="H219" s="84"/>
    </row>
    <row r="220">
      <c r="F220" s="64"/>
      <c r="G220" s="83"/>
      <c r="H220" s="84"/>
    </row>
    <row r="221">
      <c r="F221" s="64"/>
      <c r="G221" s="83"/>
      <c r="H221" s="84"/>
    </row>
    <row r="222">
      <c r="F222" s="64"/>
      <c r="G222" s="83"/>
      <c r="H222" s="84"/>
    </row>
    <row r="223">
      <c r="F223" s="64"/>
      <c r="G223" s="83"/>
      <c r="H223" s="84"/>
    </row>
    <row r="224">
      <c r="F224" s="64"/>
      <c r="G224" s="83"/>
      <c r="H224" s="84"/>
    </row>
    <row r="225">
      <c r="F225" s="64"/>
      <c r="G225" s="83"/>
      <c r="H225" s="84"/>
    </row>
    <row r="226">
      <c r="F226" s="64"/>
      <c r="G226" s="83"/>
      <c r="H226" s="84"/>
    </row>
    <row r="227">
      <c r="F227" s="64"/>
      <c r="G227" s="83"/>
      <c r="H227" s="84"/>
    </row>
    <row r="228">
      <c r="F228" s="64"/>
      <c r="G228" s="83"/>
      <c r="H228" s="84"/>
    </row>
    <row r="229">
      <c r="F229" s="64"/>
      <c r="G229" s="83"/>
      <c r="H229" s="84"/>
    </row>
    <row r="230">
      <c r="F230" s="64"/>
      <c r="G230" s="83"/>
      <c r="H230" s="84"/>
    </row>
    <row r="231">
      <c r="F231" s="64"/>
      <c r="G231" s="83"/>
      <c r="H231" s="84"/>
    </row>
    <row r="232">
      <c r="F232" s="64"/>
      <c r="G232" s="83"/>
      <c r="H232" s="84"/>
    </row>
    <row r="233">
      <c r="F233" s="64"/>
      <c r="G233" s="83"/>
      <c r="H233" s="84"/>
    </row>
    <row r="234">
      <c r="F234" s="64"/>
      <c r="G234" s="83"/>
      <c r="H234" s="84"/>
    </row>
    <row r="235">
      <c r="F235" s="64"/>
      <c r="G235" s="83"/>
      <c r="H235" s="84"/>
    </row>
    <row r="236">
      <c r="F236" s="64"/>
      <c r="G236" s="83"/>
      <c r="H236" s="84"/>
    </row>
    <row r="237">
      <c r="F237" s="64"/>
      <c r="G237" s="83"/>
      <c r="H237" s="84"/>
    </row>
    <row r="238">
      <c r="F238" s="64"/>
      <c r="G238" s="83"/>
      <c r="H238" s="84"/>
    </row>
    <row r="239">
      <c r="F239" s="64"/>
      <c r="G239" s="83"/>
      <c r="H239" s="84"/>
    </row>
    <row r="240">
      <c r="F240" s="64"/>
      <c r="G240" s="83"/>
      <c r="H240" s="84"/>
    </row>
    <row r="241">
      <c r="F241" s="64"/>
      <c r="G241" s="83"/>
      <c r="H241" s="84"/>
    </row>
    <row r="242">
      <c r="F242" s="64"/>
      <c r="G242" s="83"/>
      <c r="H242" s="84"/>
    </row>
    <row r="243">
      <c r="F243" s="64"/>
      <c r="G243" s="83"/>
      <c r="H243" s="84"/>
    </row>
    <row r="244">
      <c r="F244" s="64"/>
      <c r="G244" s="83"/>
      <c r="H244" s="84"/>
    </row>
    <row r="245">
      <c r="F245" s="64"/>
      <c r="G245" s="83"/>
      <c r="H245" s="84"/>
    </row>
    <row r="246">
      <c r="F246" s="64"/>
      <c r="G246" s="83"/>
      <c r="H246" s="84"/>
    </row>
    <row r="247">
      <c r="F247" s="64"/>
      <c r="G247" s="83"/>
      <c r="H247" s="84"/>
    </row>
    <row r="248">
      <c r="F248" s="64"/>
      <c r="G248" s="83"/>
      <c r="H248" s="84"/>
    </row>
    <row r="249">
      <c r="F249" s="64"/>
      <c r="G249" s="83"/>
      <c r="H249" s="84"/>
    </row>
    <row r="250">
      <c r="F250" s="64"/>
      <c r="G250" s="83"/>
      <c r="H250" s="84"/>
    </row>
    <row r="251">
      <c r="F251" s="64"/>
      <c r="G251" s="83"/>
      <c r="H251" s="84"/>
    </row>
    <row r="252">
      <c r="F252" s="64"/>
      <c r="G252" s="83"/>
      <c r="H252" s="84"/>
    </row>
    <row r="253">
      <c r="F253" s="64"/>
      <c r="G253" s="83"/>
      <c r="H253" s="84"/>
    </row>
    <row r="254">
      <c r="F254" s="64"/>
      <c r="G254" s="83"/>
      <c r="H254" s="84"/>
    </row>
    <row r="255">
      <c r="F255" s="64"/>
      <c r="G255" s="83"/>
      <c r="H255" s="84"/>
    </row>
    <row r="256">
      <c r="F256" s="64"/>
      <c r="G256" s="83"/>
      <c r="H256" s="84"/>
    </row>
    <row r="257">
      <c r="F257" s="64"/>
      <c r="G257" s="83"/>
      <c r="H257" s="84"/>
    </row>
    <row r="258">
      <c r="F258" s="64"/>
      <c r="G258" s="83"/>
      <c r="H258" s="84"/>
    </row>
    <row r="259">
      <c r="F259" s="64"/>
      <c r="G259" s="83"/>
      <c r="H259" s="84"/>
    </row>
    <row r="260">
      <c r="F260" s="64"/>
      <c r="G260" s="83"/>
      <c r="H260" s="84"/>
    </row>
    <row r="261">
      <c r="F261" s="64"/>
      <c r="G261" s="83"/>
      <c r="H261" s="84"/>
    </row>
    <row r="262">
      <c r="F262" s="64"/>
      <c r="G262" s="83"/>
      <c r="H262" s="84"/>
    </row>
    <row r="263">
      <c r="F263" s="64"/>
      <c r="G263" s="83"/>
      <c r="H263" s="84"/>
    </row>
    <row r="264">
      <c r="F264" s="64"/>
      <c r="G264" s="83"/>
      <c r="H264" s="84"/>
    </row>
    <row r="265">
      <c r="F265" s="64"/>
      <c r="G265" s="83"/>
      <c r="H265" s="84"/>
    </row>
    <row r="266">
      <c r="F266" s="64"/>
      <c r="G266" s="83"/>
      <c r="H266" s="84"/>
    </row>
    <row r="267">
      <c r="F267" s="64"/>
      <c r="G267" s="83"/>
      <c r="H267" s="84"/>
    </row>
    <row r="268">
      <c r="F268" s="64"/>
      <c r="G268" s="83"/>
      <c r="H268" s="84"/>
    </row>
    <row r="269">
      <c r="F269" s="64"/>
      <c r="G269" s="83"/>
      <c r="H269" s="84"/>
    </row>
    <row r="270">
      <c r="F270" s="64"/>
      <c r="G270" s="83"/>
      <c r="H270" s="84"/>
    </row>
    <row r="271">
      <c r="F271" s="64"/>
      <c r="G271" s="83"/>
      <c r="H271" s="84"/>
    </row>
    <row r="272">
      <c r="F272" s="64"/>
      <c r="G272" s="83"/>
      <c r="H272" s="84"/>
    </row>
    <row r="273">
      <c r="F273" s="64"/>
      <c r="G273" s="83"/>
      <c r="H273" s="84"/>
    </row>
    <row r="274">
      <c r="F274" s="64"/>
      <c r="G274" s="83"/>
      <c r="H274" s="84"/>
    </row>
    <row r="275">
      <c r="F275" s="64"/>
      <c r="G275" s="83"/>
      <c r="H275" s="84"/>
    </row>
    <row r="276">
      <c r="F276" s="64"/>
      <c r="G276" s="83"/>
      <c r="H276" s="84"/>
    </row>
    <row r="277">
      <c r="F277" s="64"/>
      <c r="G277" s="83"/>
      <c r="H277" s="84"/>
    </row>
    <row r="278">
      <c r="F278" s="64"/>
      <c r="G278" s="83"/>
      <c r="H278" s="84"/>
    </row>
    <row r="279">
      <c r="F279" s="64"/>
      <c r="G279" s="83"/>
      <c r="H279" s="84"/>
    </row>
    <row r="280">
      <c r="F280" s="64"/>
      <c r="G280" s="83"/>
      <c r="H280" s="84"/>
    </row>
    <row r="281">
      <c r="F281" s="64"/>
      <c r="G281" s="83"/>
      <c r="H281" s="84"/>
    </row>
    <row r="282">
      <c r="F282" s="64"/>
      <c r="G282" s="83"/>
      <c r="H282" s="84"/>
    </row>
    <row r="283">
      <c r="F283" s="64"/>
      <c r="G283" s="83"/>
      <c r="H283" s="84"/>
    </row>
    <row r="284">
      <c r="F284" s="64"/>
      <c r="G284" s="83"/>
      <c r="H284" s="84"/>
    </row>
    <row r="285">
      <c r="F285" s="64"/>
      <c r="G285" s="83"/>
      <c r="H285" s="84"/>
    </row>
    <row r="286">
      <c r="F286" s="64"/>
      <c r="G286" s="83"/>
      <c r="H286" s="84"/>
    </row>
    <row r="287">
      <c r="F287" s="64"/>
      <c r="G287" s="83"/>
      <c r="H287" s="84"/>
    </row>
    <row r="288">
      <c r="F288" s="64"/>
      <c r="G288" s="83"/>
      <c r="H288" s="84"/>
    </row>
    <row r="289">
      <c r="F289" s="64"/>
      <c r="G289" s="83"/>
      <c r="H289" s="84"/>
    </row>
    <row r="290">
      <c r="F290" s="64"/>
      <c r="G290" s="83"/>
      <c r="H290" s="84"/>
    </row>
    <row r="291">
      <c r="F291" s="64"/>
      <c r="G291" s="83"/>
      <c r="H291" s="84"/>
    </row>
    <row r="292">
      <c r="F292" s="64"/>
      <c r="G292" s="83"/>
      <c r="H292" s="84"/>
    </row>
    <row r="293">
      <c r="F293" s="64"/>
      <c r="G293" s="83"/>
      <c r="H293" s="84"/>
    </row>
    <row r="294">
      <c r="F294" s="64"/>
      <c r="G294" s="83"/>
      <c r="H294" s="84"/>
    </row>
    <row r="295">
      <c r="F295" s="64"/>
      <c r="G295" s="83"/>
      <c r="H295" s="84"/>
    </row>
    <row r="296">
      <c r="F296" s="64"/>
      <c r="G296" s="83"/>
      <c r="H296" s="84"/>
    </row>
    <row r="297">
      <c r="F297" s="64"/>
      <c r="G297" s="83"/>
      <c r="H297" s="84"/>
    </row>
    <row r="298">
      <c r="F298" s="64"/>
      <c r="G298" s="83"/>
      <c r="H298" s="84"/>
    </row>
    <row r="299">
      <c r="F299" s="64"/>
      <c r="G299" s="83"/>
      <c r="H299" s="84"/>
    </row>
    <row r="300">
      <c r="F300" s="64"/>
      <c r="G300" s="83"/>
      <c r="H300" s="84"/>
    </row>
    <row r="301">
      <c r="F301" s="64"/>
      <c r="G301" s="83"/>
      <c r="H301" s="84"/>
    </row>
    <row r="302">
      <c r="F302" s="64"/>
      <c r="G302" s="83"/>
      <c r="H302" s="84"/>
    </row>
    <row r="303">
      <c r="F303" s="64"/>
      <c r="G303" s="83"/>
      <c r="H303" s="84"/>
    </row>
    <row r="304">
      <c r="F304" s="64"/>
      <c r="G304" s="83"/>
      <c r="H304" s="84"/>
    </row>
    <row r="305">
      <c r="F305" s="64"/>
      <c r="G305" s="83"/>
      <c r="H305" s="84"/>
    </row>
    <row r="306">
      <c r="F306" s="64"/>
      <c r="G306" s="83"/>
      <c r="H306" s="84"/>
    </row>
    <row r="307">
      <c r="F307" s="64"/>
      <c r="G307" s="83"/>
      <c r="H307" s="84"/>
    </row>
    <row r="308">
      <c r="F308" s="64"/>
      <c r="G308" s="83"/>
      <c r="H308" s="84"/>
    </row>
    <row r="309">
      <c r="F309" s="64"/>
      <c r="G309" s="83"/>
      <c r="H309" s="84"/>
    </row>
    <row r="310">
      <c r="F310" s="64"/>
      <c r="G310" s="83"/>
      <c r="H310" s="84"/>
    </row>
    <row r="311">
      <c r="F311" s="64"/>
      <c r="G311" s="83"/>
      <c r="H311" s="84"/>
    </row>
    <row r="312">
      <c r="F312" s="64"/>
      <c r="G312" s="83"/>
      <c r="H312" s="84"/>
    </row>
    <row r="313">
      <c r="F313" s="64"/>
      <c r="G313" s="83"/>
      <c r="H313" s="84"/>
    </row>
    <row r="314">
      <c r="F314" s="64"/>
      <c r="G314" s="83"/>
      <c r="H314" s="84"/>
    </row>
    <row r="315">
      <c r="F315" s="64"/>
      <c r="G315" s="83"/>
      <c r="H315" s="84"/>
    </row>
    <row r="316">
      <c r="F316" s="64"/>
      <c r="G316" s="83"/>
      <c r="H316" s="84"/>
    </row>
    <row r="317">
      <c r="F317" s="64"/>
      <c r="G317" s="83"/>
      <c r="H317" s="84"/>
    </row>
    <row r="318">
      <c r="F318" s="64"/>
      <c r="G318" s="83"/>
      <c r="H318" s="84"/>
    </row>
    <row r="319">
      <c r="F319" s="64"/>
      <c r="G319" s="83"/>
      <c r="H319" s="84"/>
    </row>
    <row r="320">
      <c r="F320" s="64"/>
      <c r="G320" s="83"/>
      <c r="H320" s="84"/>
    </row>
    <row r="321">
      <c r="F321" s="64"/>
      <c r="G321" s="83"/>
      <c r="H321" s="84"/>
    </row>
    <row r="322">
      <c r="F322" s="64"/>
      <c r="G322" s="83"/>
      <c r="H322" s="84"/>
    </row>
    <row r="323">
      <c r="F323" s="64"/>
      <c r="G323" s="83"/>
      <c r="H323" s="84"/>
    </row>
    <row r="324">
      <c r="F324" s="64"/>
      <c r="G324" s="83"/>
      <c r="H324" s="84"/>
    </row>
    <row r="325">
      <c r="F325" s="64"/>
      <c r="G325" s="83"/>
      <c r="H325" s="84"/>
    </row>
    <row r="326">
      <c r="F326" s="64"/>
      <c r="G326" s="83"/>
      <c r="H326" s="84"/>
    </row>
    <row r="327">
      <c r="F327" s="64"/>
      <c r="G327" s="83"/>
      <c r="H327" s="84"/>
    </row>
    <row r="328">
      <c r="F328" s="64"/>
      <c r="G328" s="83"/>
      <c r="H328" s="84"/>
    </row>
    <row r="329">
      <c r="F329" s="64"/>
      <c r="G329" s="83"/>
      <c r="H329" s="84"/>
    </row>
    <row r="330">
      <c r="F330" s="64"/>
      <c r="G330" s="83"/>
      <c r="H330" s="84"/>
    </row>
    <row r="331">
      <c r="F331" s="64"/>
      <c r="G331" s="83"/>
      <c r="H331" s="84"/>
    </row>
    <row r="332">
      <c r="F332" s="64"/>
      <c r="G332" s="83"/>
      <c r="H332" s="84"/>
    </row>
    <row r="333">
      <c r="F333" s="64"/>
      <c r="G333" s="83"/>
      <c r="H333" s="84"/>
    </row>
    <row r="334">
      <c r="F334" s="64"/>
      <c r="G334" s="83"/>
      <c r="H334" s="84"/>
    </row>
    <row r="335">
      <c r="F335" s="64"/>
      <c r="G335" s="83"/>
      <c r="H335" s="84"/>
    </row>
    <row r="336">
      <c r="F336" s="64"/>
      <c r="G336" s="83"/>
      <c r="H336" s="84"/>
    </row>
    <row r="337">
      <c r="F337" s="64"/>
      <c r="G337" s="83"/>
      <c r="H337" s="84"/>
    </row>
    <row r="338">
      <c r="F338" s="64"/>
      <c r="G338" s="83"/>
      <c r="H338" s="84"/>
    </row>
    <row r="339">
      <c r="F339" s="64"/>
      <c r="G339" s="83"/>
      <c r="H339" s="84"/>
    </row>
    <row r="340">
      <c r="F340" s="64"/>
      <c r="G340" s="83"/>
      <c r="H340" s="84"/>
    </row>
    <row r="341">
      <c r="F341" s="64"/>
      <c r="G341" s="83"/>
      <c r="H341" s="84"/>
    </row>
    <row r="342">
      <c r="F342" s="64"/>
      <c r="G342" s="83"/>
      <c r="H342" s="84"/>
    </row>
    <row r="343">
      <c r="F343" s="64"/>
      <c r="G343" s="83"/>
      <c r="H343" s="84"/>
    </row>
    <row r="344">
      <c r="F344" s="64"/>
      <c r="G344" s="83"/>
      <c r="H344" s="84"/>
    </row>
    <row r="345">
      <c r="F345" s="64"/>
      <c r="G345" s="83"/>
      <c r="H345" s="84"/>
    </row>
    <row r="346">
      <c r="F346" s="64"/>
      <c r="G346" s="83"/>
      <c r="H346" s="84"/>
    </row>
    <row r="347">
      <c r="F347" s="64"/>
      <c r="G347" s="83"/>
      <c r="H347" s="84"/>
    </row>
    <row r="348">
      <c r="F348" s="64"/>
      <c r="G348" s="83"/>
      <c r="H348" s="84"/>
    </row>
    <row r="349">
      <c r="F349" s="64"/>
      <c r="G349" s="83"/>
      <c r="H349" s="84"/>
    </row>
    <row r="350">
      <c r="F350" s="64"/>
      <c r="G350" s="83"/>
      <c r="H350" s="84"/>
    </row>
    <row r="351">
      <c r="F351" s="64"/>
      <c r="G351" s="83"/>
      <c r="H351" s="84"/>
    </row>
    <row r="352">
      <c r="F352" s="64"/>
      <c r="G352" s="83"/>
      <c r="H352" s="84"/>
    </row>
    <row r="353">
      <c r="F353" s="64"/>
      <c r="G353" s="83"/>
      <c r="H353" s="84"/>
    </row>
    <row r="354">
      <c r="F354" s="64"/>
      <c r="G354" s="83"/>
      <c r="H354" s="84"/>
    </row>
    <row r="355">
      <c r="F355" s="64"/>
      <c r="G355" s="83"/>
      <c r="H355" s="84"/>
    </row>
    <row r="356">
      <c r="F356" s="64"/>
      <c r="G356" s="83"/>
      <c r="H356" s="84"/>
    </row>
    <row r="357">
      <c r="F357" s="64"/>
      <c r="G357" s="83"/>
      <c r="H357" s="84"/>
    </row>
    <row r="358">
      <c r="F358" s="64"/>
      <c r="G358" s="83"/>
      <c r="H358" s="84"/>
    </row>
    <row r="359">
      <c r="F359" s="64"/>
      <c r="G359" s="83"/>
      <c r="H359" s="84"/>
    </row>
    <row r="360">
      <c r="F360" s="64"/>
      <c r="G360" s="83"/>
      <c r="H360" s="84"/>
    </row>
    <row r="361">
      <c r="F361" s="64"/>
      <c r="G361" s="83"/>
      <c r="H361" s="84"/>
    </row>
    <row r="362">
      <c r="F362" s="64"/>
      <c r="G362" s="83"/>
      <c r="H362" s="84"/>
    </row>
    <row r="363">
      <c r="F363" s="64"/>
      <c r="G363" s="83"/>
      <c r="H363" s="84"/>
    </row>
    <row r="364">
      <c r="F364" s="64"/>
      <c r="G364" s="83"/>
      <c r="H364" s="84"/>
    </row>
    <row r="365">
      <c r="F365" s="64"/>
      <c r="G365" s="83"/>
      <c r="H365" s="84"/>
    </row>
    <row r="366">
      <c r="F366" s="64"/>
      <c r="G366" s="83"/>
      <c r="H366" s="84"/>
    </row>
    <row r="367">
      <c r="F367" s="64"/>
      <c r="G367" s="83"/>
      <c r="H367" s="84"/>
    </row>
    <row r="368">
      <c r="F368" s="64"/>
      <c r="G368" s="83"/>
      <c r="H368" s="84"/>
    </row>
    <row r="369">
      <c r="F369" s="64"/>
      <c r="G369" s="83"/>
      <c r="H369" s="84"/>
    </row>
    <row r="370">
      <c r="F370" s="64"/>
      <c r="G370" s="83"/>
      <c r="H370" s="84"/>
    </row>
    <row r="371">
      <c r="F371" s="64"/>
      <c r="G371" s="83"/>
      <c r="H371" s="84"/>
    </row>
    <row r="372">
      <c r="F372" s="64"/>
      <c r="G372" s="83"/>
      <c r="H372" s="84"/>
    </row>
    <row r="373">
      <c r="F373" s="64"/>
      <c r="G373" s="83"/>
      <c r="H373" s="84"/>
    </row>
    <row r="374">
      <c r="F374" s="64"/>
      <c r="G374" s="83"/>
      <c r="H374" s="84"/>
    </row>
    <row r="375">
      <c r="F375" s="64"/>
      <c r="G375" s="83"/>
      <c r="H375" s="84"/>
    </row>
    <row r="376">
      <c r="F376" s="64"/>
      <c r="G376" s="83"/>
      <c r="H376" s="84"/>
    </row>
    <row r="377">
      <c r="F377" s="64"/>
      <c r="G377" s="83"/>
      <c r="H377" s="84"/>
    </row>
    <row r="378">
      <c r="F378" s="64"/>
      <c r="G378" s="83"/>
      <c r="H378" s="84"/>
    </row>
    <row r="379">
      <c r="F379" s="64"/>
      <c r="G379" s="83"/>
      <c r="H379" s="84"/>
    </row>
    <row r="380">
      <c r="F380" s="64"/>
      <c r="G380" s="83"/>
      <c r="H380" s="84"/>
    </row>
    <row r="381">
      <c r="F381" s="64"/>
      <c r="G381" s="83"/>
      <c r="H381" s="84"/>
    </row>
    <row r="382">
      <c r="F382" s="64"/>
      <c r="G382" s="83"/>
      <c r="H382" s="84"/>
    </row>
    <row r="383">
      <c r="F383" s="64"/>
      <c r="G383" s="83"/>
      <c r="H383" s="84"/>
    </row>
    <row r="384">
      <c r="F384" s="64"/>
      <c r="G384" s="83"/>
      <c r="H384" s="84"/>
    </row>
    <row r="385">
      <c r="F385" s="64"/>
      <c r="G385" s="83"/>
      <c r="H385" s="84"/>
    </row>
    <row r="386">
      <c r="F386" s="64"/>
      <c r="G386" s="83"/>
      <c r="H386" s="84"/>
    </row>
    <row r="387">
      <c r="F387" s="64"/>
      <c r="G387" s="83"/>
      <c r="H387" s="84"/>
    </row>
    <row r="388">
      <c r="F388" s="64"/>
      <c r="G388" s="83"/>
      <c r="H388" s="84"/>
    </row>
    <row r="389">
      <c r="F389" s="64"/>
      <c r="G389" s="83"/>
      <c r="H389" s="84"/>
    </row>
    <row r="390">
      <c r="F390" s="64"/>
      <c r="G390" s="83"/>
      <c r="H390" s="84"/>
    </row>
    <row r="391">
      <c r="F391" s="64"/>
      <c r="G391" s="83"/>
      <c r="H391" s="84"/>
    </row>
    <row r="392">
      <c r="F392" s="64"/>
      <c r="G392" s="83"/>
      <c r="H392" s="84"/>
    </row>
    <row r="393">
      <c r="F393" s="64"/>
      <c r="G393" s="83"/>
      <c r="H393" s="84"/>
    </row>
    <row r="394">
      <c r="F394" s="64"/>
      <c r="G394" s="83"/>
      <c r="H394" s="84"/>
    </row>
    <row r="395">
      <c r="F395" s="64"/>
      <c r="G395" s="83"/>
      <c r="H395" s="84"/>
    </row>
    <row r="396">
      <c r="F396" s="64"/>
      <c r="G396" s="83"/>
      <c r="H396" s="84"/>
    </row>
    <row r="397">
      <c r="F397" s="64"/>
      <c r="G397" s="83"/>
      <c r="H397" s="84"/>
    </row>
    <row r="398">
      <c r="F398" s="64"/>
      <c r="G398" s="83"/>
      <c r="H398" s="84"/>
    </row>
    <row r="399">
      <c r="F399" s="64"/>
      <c r="G399" s="83"/>
      <c r="H399" s="84"/>
    </row>
    <row r="400">
      <c r="F400" s="64"/>
      <c r="G400" s="83"/>
      <c r="H400" s="84"/>
    </row>
    <row r="401">
      <c r="F401" s="64"/>
      <c r="G401" s="83"/>
      <c r="H401" s="84"/>
    </row>
    <row r="402">
      <c r="F402" s="64"/>
      <c r="G402" s="83"/>
      <c r="H402" s="84"/>
    </row>
    <row r="403">
      <c r="F403" s="64"/>
      <c r="G403" s="83"/>
      <c r="H403" s="84"/>
    </row>
    <row r="404">
      <c r="F404" s="64"/>
      <c r="G404" s="83"/>
      <c r="H404" s="84"/>
    </row>
    <row r="405">
      <c r="F405" s="64"/>
      <c r="G405" s="83"/>
      <c r="H405" s="84"/>
    </row>
    <row r="406">
      <c r="F406" s="64"/>
      <c r="G406" s="83"/>
      <c r="H406" s="84"/>
    </row>
    <row r="407">
      <c r="F407" s="64"/>
      <c r="G407" s="83"/>
      <c r="H407" s="84"/>
    </row>
    <row r="408">
      <c r="F408" s="64"/>
      <c r="G408" s="83"/>
      <c r="H408" s="84"/>
    </row>
    <row r="409">
      <c r="F409" s="64"/>
      <c r="G409" s="83"/>
      <c r="H409" s="84"/>
    </row>
    <row r="410">
      <c r="F410" s="64"/>
      <c r="G410" s="83"/>
      <c r="H410" s="84"/>
    </row>
    <row r="411">
      <c r="F411" s="64"/>
      <c r="G411" s="83"/>
      <c r="H411" s="84"/>
    </row>
    <row r="412">
      <c r="F412" s="64"/>
      <c r="G412" s="83"/>
      <c r="H412" s="84"/>
    </row>
    <row r="413">
      <c r="F413" s="64"/>
      <c r="G413" s="83"/>
      <c r="H413" s="84"/>
    </row>
    <row r="414">
      <c r="F414" s="64"/>
      <c r="G414" s="83"/>
      <c r="H414" s="84"/>
    </row>
    <row r="415">
      <c r="F415" s="64"/>
      <c r="G415" s="83"/>
      <c r="H415" s="84"/>
    </row>
    <row r="416">
      <c r="F416" s="64"/>
      <c r="G416" s="83"/>
      <c r="H416" s="84"/>
    </row>
    <row r="417">
      <c r="F417" s="64"/>
      <c r="G417" s="83"/>
      <c r="H417" s="84"/>
    </row>
    <row r="418">
      <c r="F418" s="64"/>
      <c r="G418" s="83"/>
      <c r="H418" s="84"/>
    </row>
    <row r="419">
      <c r="F419" s="64"/>
      <c r="G419" s="83"/>
      <c r="H419" s="84"/>
    </row>
    <row r="420">
      <c r="F420" s="64"/>
      <c r="G420" s="83"/>
      <c r="H420" s="84"/>
    </row>
    <row r="421">
      <c r="F421" s="64"/>
      <c r="G421" s="83"/>
      <c r="H421" s="84"/>
    </row>
    <row r="422">
      <c r="F422" s="64"/>
      <c r="G422" s="83"/>
      <c r="H422" s="84"/>
    </row>
    <row r="423">
      <c r="F423" s="64"/>
      <c r="G423" s="83"/>
      <c r="H423" s="84"/>
    </row>
    <row r="424">
      <c r="F424" s="64"/>
      <c r="G424" s="83"/>
      <c r="H424" s="84"/>
    </row>
    <row r="425">
      <c r="F425" s="64"/>
      <c r="G425" s="83"/>
      <c r="H425" s="84"/>
    </row>
    <row r="426">
      <c r="F426" s="64"/>
      <c r="G426" s="83"/>
      <c r="H426" s="84"/>
    </row>
    <row r="427">
      <c r="F427" s="64"/>
      <c r="G427" s="83"/>
      <c r="H427" s="84"/>
    </row>
    <row r="428">
      <c r="F428" s="64"/>
      <c r="G428" s="83"/>
      <c r="H428" s="84"/>
    </row>
    <row r="429">
      <c r="F429" s="64"/>
      <c r="G429" s="83"/>
      <c r="H429" s="84"/>
    </row>
    <row r="430">
      <c r="F430" s="64"/>
      <c r="G430" s="83"/>
      <c r="H430" s="84"/>
    </row>
    <row r="431">
      <c r="F431" s="64"/>
      <c r="G431" s="83"/>
      <c r="H431" s="84"/>
    </row>
    <row r="432">
      <c r="F432" s="64"/>
      <c r="G432" s="83"/>
      <c r="H432" s="84"/>
    </row>
    <row r="433">
      <c r="F433" s="64"/>
      <c r="G433" s="83"/>
      <c r="H433" s="84"/>
    </row>
    <row r="434">
      <c r="F434" s="64"/>
      <c r="G434" s="83"/>
      <c r="H434" s="84"/>
    </row>
    <row r="435">
      <c r="F435" s="64"/>
      <c r="G435" s="83"/>
      <c r="H435" s="84"/>
    </row>
    <row r="436">
      <c r="F436" s="64"/>
      <c r="G436" s="83"/>
      <c r="H436" s="84"/>
    </row>
    <row r="437">
      <c r="F437" s="64"/>
      <c r="G437" s="83"/>
      <c r="H437" s="84"/>
    </row>
    <row r="438">
      <c r="F438" s="64"/>
      <c r="G438" s="83"/>
      <c r="H438" s="84"/>
    </row>
    <row r="439">
      <c r="F439" s="64"/>
      <c r="G439" s="83"/>
      <c r="H439" s="84"/>
    </row>
    <row r="440">
      <c r="F440" s="64"/>
      <c r="G440" s="83"/>
      <c r="H440" s="84"/>
    </row>
    <row r="441">
      <c r="F441" s="64"/>
      <c r="G441" s="83"/>
      <c r="H441" s="84"/>
    </row>
    <row r="442">
      <c r="F442" s="64"/>
      <c r="G442" s="83"/>
      <c r="H442" s="84"/>
    </row>
    <row r="443">
      <c r="F443" s="64"/>
      <c r="G443" s="83"/>
      <c r="H443" s="84"/>
    </row>
    <row r="444">
      <c r="F444" s="64"/>
      <c r="G444" s="83"/>
      <c r="H444" s="84"/>
    </row>
    <row r="445">
      <c r="F445" s="64"/>
      <c r="G445" s="83"/>
      <c r="H445" s="84"/>
    </row>
    <row r="446">
      <c r="F446" s="64"/>
      <c r="G446" s="83"/>
      <c r="H446" s="84"/>
    </row>
    <row r="447">
      <c r="F447" s="64"/>
      <c r="G447" s="83"/>
      <c r="H447" s="84"/>
    </row>
    <row r="448">
      <c r="F448" s="64"/>
      <c r="G448" s="83"/>
      <c r="H448" s="84"/>
    </row>
    <row r="449">
      <c r="F449" s="64"/>
      <c r="G449" s="83"/>
      <c r="H449" s="84"/>
    </row>
    <row r="450">
      <c r="F450" s="64"/>
      <c r="G450" s="83"/>
      <c r="H450" s="84"/>
    </row>
    <row r="451">
      <c r="F451" s="64"/>
      <c r="G451" s="83"/>
      <c r="H451" s="84"/>
    </row>
    <row r="452">
      <c r="F452" s="64"/>
      <c r="G452" s="83"/>
      <c r="H452" s="84"/>
    </row>
    <row r="453">
      <c r="F453" s="64"/>
      <c r="G453" s="83"/>
      <c r="H453" s="84"/>
    </row>
    <row r="454">
      <c r="F454" s="64"/>
      <c r="G454" s="83"/>
      <c r="H454" s="84"/>
    </row>
    <row r="455">
      <c r="F455" s="64"/>
      <c r="G455" s="83"/>
      <c r="H455" s="84"/>
    </row>
    <row r="456">
      <c r="F456" s="64"/>
      <c r="G456" s="83"/>
      <c r="H456" s="84"/>
    </row>
    <row r="457">
      <c r="F457" s="64"/>
      <c r="G457" s="83"/>
      <c r="H457" s="84"/>
    </row>
    <row r="458">
      <c r="F458" s="64"/>
      <c r="G458" s="83"/>
      <c r="H458" s="84"/>
    </row>
    <row r="459">
      <c r="F459" s="64"/>
      <c r="G459" s="83"/>
      <c r="H459" s="84"/>
    </row>
    <row r="460">
      <c r="F460" s="64"/>
      <c r="G460" s="83"/>
      <c r="H460" s="84"/>
    </row>
    <row r="461">
      <c r="F461" s="64"/>
      <c r="G461" s="83"/>
      <c r="H461" s="84"/>
    </row>
    <row r="462">
      <c r="F462" s="64"/>
      <c r="G462" s="83"/>
      <c r="H462" s="84"/>
    </row>
    <row r="463">
      <c r="F463" s="64"/>
      <c r="G463" s="83"/>
      <c r="H463" s="84"/>
    </row>
    <row r="464">
      <c r="F464" s="64"/>
      <c r="G464" s="83"/>
      <c r="H464" s="84"/>
    </row>
    <row r="465">
      <c r="F465" s="64"/>
      <c r="G465" s="83"/>
      <c r="H465" s="84"/>
    </row>
    <row r="466">
      <c r="F466" s="64"/>
      <c r="G466" s="83"/>
      <c r="H466" s="84"/>
    </row>
    <row r="467">
      <c r="F467" s="64"/>
      <c r="G467" s="83"/>
      <c r="H467" s="84"/>
    </row>
    <row r="468">
      <c r="F468" s="64"/>
      <c r="G468" s="83"/>
      <c r="H468" s="84"/>
    </row>
    <row r="469">
      <c r="F469" s="64"/>
      <c r="G469" s="83"/>
      <c r="H469" s="84"/>
    </row>
    <row r="470">
      <c r="F470" s="64"/>
      <c r="G470" s="83"/>
      <c r="H470" s="84"/>
    </row>
    <row r="471">
      <c r="F471" s="64"/>
      <c r="G471" s="83"/>
      <c r="H471" s="84"/>
    </row>
    <row r="472">
      <c r="F472" s="64"/>
      <c r="G472" s="83"/>
      <c r="H472" s="84"/>
    </row>
    <row r="473">
      <c r="F473" s="64"/>
      <c r="G473" s="83"/>
      <c r="H473" s="84"/>
    </row>
    <row r="474">
      <c r="F474" s="64"/>
      <c r="G474" s="83"/>
      <c r="H474" s="84"/>
    </row>
    <row r="475">
      <c r="F475" s="64"/>
      <c r="G475" s="83"/>
      <c r="H475" s="84"/>
    </row>
    <row r="476">
      <c r="F476" s="64"/>
      <c r="G476" s="83"/>
      <c r="H476" s="84"/>
    </row>
    <row r="477">
      <c r="F477" s="64"/>
      <c r="G477" s="83"/>
      <c r="H477" s="84"/>
    </row>
    <row r="478">
      <c r="F478" s="64"/>
      <c r="G478" s="83"/>
      <c r="H478" s="84"/>
    </row>
    <row r="479">
      <c r="F479" s="64"/>
      <c r="G479" s="83"/>
      <c r="H479" s="84"/>
    </row>
    <row r="480">
      <c r="F480" s="64"/>
      <c r="G480" s="83"/>
      <c r="H480" s="84"/>
    </row>
    <row r="481">
      <c r="F481" s="64"/>
      <c r="G481" s="83"/>
      <c r="H481" s="84"/>
    </row>
    <row r="482">
      <c r="F482" s="64"/>
      <c r="G482" s="83"/>
      <c r="H482" s="84"/>
    </row>
    <row r="483">
      <c r="F483" s="64"/>
      <c r="G483" s="83"/>
      <c r="H483" s="84"/>
    </row>
    <row r="484">
      <c r="F484" s="64"/>
      <c r="G484" s="83"/>
      <c r="H484" s="84"/>
    </row>
    <row r="485">
      <c r="F485" s="64"/>
      <c r="G485" s="83"/>
      <c r="H485" s="84"/>
    </row>
    <row r="486">
      <c r="F486" s="64"/>
      <c r="G486" s="83"/>
      <c r="H486" s="84"/>
    </row>
    <row r="487">
      <c r="F487" s="64"/>
      <c r="G487" s="83"/>
      <c r="H487" s="84"/>
    </row>
    <row r="488">
      <c r="F488" s="64"/>
      <c r="G488" s="83"/>
      <c r="H488" s="84"/>
    </row>
    <row r="489">
      <c r="F489" s="64"/>
      <c r="G489" s="83"/>
      <c r="H489" s="84"/>
    </row>
    <row r="490">
      <c r="F490" s="64"/>
      <c r="G490" s="83"/>
      <c r="H490" s="84"/>
    </row>
    <row r="491">
      <c r="F491" s="64"/>
      <c r="G491" s="83"/>
      <c r="H491" s="84"/>
    </row>
    <row r="492">
      <c r="F492" s="64"/>
      <c r="G492" s="83"/>
      <c r="H492" s="84"/>
    </row>
    <row r="493">
      <c r="F493" s="64"/>
      <c r="G493" s="83"/>
      <c r="H493" s="84"/>
    </row>
    <row r="494">
      <c r="F494" s="64"/>
      <c r="G494" s="83"/>
      <c r="H494" s="84"/>
    </row>
    <row r="495">
      <c r="F495" s="64"/>
      <c r="G495" s="83"/>
      <c r="H495" s="84"/>
    </row>
    <row r="496">
      <c r="F496" s="64"/>
      <c r="G496" s="83"/>
      <c r="H496" s="84"/>
    </row>
    <row r="497">
      <c r="F497" s="64"/>
      <c r="G497" s="83"/>
      <c r="H497" s="84"/>
    </row>
    <row r="498">
      <c r="F498" s="64"/>
      <c r="G498" s="83"/>
      <c r="H498" s="84"/>
    </row>
    <row r="499">
      <c r="F499" s="64"/>
      <c r="G499" s="83"/>
      <c r="H499" s="84"/>
    </row>
    <row r="500">
      <c r="F500" s="64"/>
      <c r="G500" s="83"/>
      <c r="H500" s="84"/>
    </row>
    <row r="501">
      <c r="F501" s="64"/>
      <c r="G501" s="83"/>
      <c r="H501" s="84"/>
    </row>
    <row r="502">
      <c r="F502" s="64"/>
      <c r="G502" s="83"/>
      <c r="H502" s="84"/>
    </row>
    <row r="503">
      <c r="F503" s="64"/>
      <c r="G503" s="83"/>
      <c r="H503" s="84"/>
    </row>
    <row r="504">
      <c r="F504" s="64"/>
      <c r="G504" s="83"/>
      <c r="H504" s="84"/>
    </row>
    <row r="505">
      <c r="F505" s="64"/>
      <c r="G505" s="83"/>
      <c r="H505" s="84"/>
    </row>
    <row r="506">
      <c r="F506" s="64"/>
      <c r="G506" s="83"/>
      <c r="H506" s="84"/>
    </row>
    <row r="507">
      <c r="F507" s="64"/>
      <c r="G507" s="83"/>
      <c r="H507" s="84"/>
    </row>
    <row r="508">
      <c r="F508" s="64"/>
      <c r="G508" s="83"/>
      <c r="H508" s="84"/>
    </row>
    <row r="509">
      <c r="F509" s="64"/>
      <c r="G509" s="83"/>
      <c r="H509" s="84"/>
    </row>
    <row r="510">
      <c r="F510" s="64"/>
      <c r="G510" s="83"/>
      <c r="H510" s="84"/>
    </row>
    <row r="511">
      <c r="F511" s="64"/>
      <c r="G511" s="83"/>
      <c r="H511" s="84"/>
    </row>
    <row r="512">
      <c r="F512" s="64"/>
      <c r="G512" s="83"/>
      <c r="H512" s="84"/>
    </row>
    <row r="513">
      <c r="F513" s="64"/>
      <c r="G513" s="83"/>
      <c r="H513" s="84"/>
    </row>
    <row r="514">
      <c r="F514" s="64"/>
      <c r="G514" s="83"/>
      <c r="H514" s="84"/>
    </row>
    <row r="515">
      <c r="F515" s="64"/>
      <c r="G515" s="83"/>
      <c r="H515" s="84"/>
    </row>
    <row r="516">
      <c r="F516" s="64"/>
      <c r="G516" s="83"/>
      <c r="H516" s="84"/>
    </row>
    <row r="517">
      <c r="F517" s="64"/>
      <c r="G517" s="83"/>
      <c r="H517" s="84"/>
    </row>
    <row r="518">
      <c r="F518" s="64"/>
      <c r="G518" s="83"/>
      <c r="H518" s="84"/>
    </row>
    <row r="519">
      <c r="F519" s="64"/>
      <c r="G519" s="83"/>
      <c r="H519" s="84"/>
    </row>
    <row r="520">
      <c r="F520" s="64"/>
      <c r="G520" s="83"/>
      <c r="H520" s="84"/>
    </row>
    <row r="521">
      <c r="F521" s="64"/>
      <c r="G521" s="83"/>
      <c r="H521" s="84"/>
    </row>
    <row r="522">
      <c r="F522" s="64"/>
      <c r="G522" s="83"/>
      <c r="H522" s="84"/>
    </row>
    <row r="523">
      <c r="F523" s="64"/>
      <c r="G523" s="83"/>
      <c r="H523" s="84"/>
    </row>
    <row r="524">
      <c r="F524" s="64"/>
      <c r="G524" s="83"/>
      <c r="H524" s="84"/>
    </row>
    <row r="525">
      <c r="F525" s="64"/>
      <c r="G525" s="83"/>
      <c r="H525" s="84"/>
    </row>
    <row r="526">
      <c r="F526" s="64"/>
      <c r="G526" s="83"/>
      <c r="H526" s="84"/>
    </row>
    <row r="527">
      <c r="F527" s="64"/>
      <c r="G527" s="83"/>
      <c r="H527" s="84"/>
    </row>
    <row r="528">
      <c r="F528" s="64"/>
      <c r="G528" s="83"/>
      <c r="H528" s="84"/>
    </row>
    <row r="529">
      <c r="F529" s="64"/>
      <c r="G529" s="83"/>
      <c r="H529" s="84"/>
    </row>
    <row r="530">
      <c r="F530" s="64"/>
      <c r="G530" s="83"/>
      <c r="H530" s="84"/>
    </row>
    <row r="531">
      <c r="F531" s="64"/>
      <c r="G531" s="83"/>
      <c r="H531" s="84"/>
    </row>
    <row r="532">
      <c r="F532" s="64"/>
      <c r="G532" s="83"/>
      <c r="H532" s="84"/>
    </row>
    <row r="533">
      <c r="F533" s="64"/>
      <c r="G533" s="83"/>
      <c r="H533" s="84"/>
    </row>
    <row r="534">
      <c r="F534" s="64"/>
      <c r="G534" s="83"/>
      <c r="H534" s="84"/>
    </row>
    <row r="535">
      <c r="F535" s="64"/>
      <c r="G535" s="83"/>
      <c r="H535" s="84"/>
    </row>
    <row r="536">
      <c r="F536" s="64"/>
      <c r="G536" s="83"/>
      <c r="H536" s="84"/>
    </row>
    <row r="537">
      <c r="F537" s="64"/>
      <c r="G537" s="83"/>
      <c r="H537" s="84"/>
    </row>
    <row r="538">
      <c r="F538" s="64"/>
      <c r="G538" s="83"/>
      <c r="H538" s="84"/>
    </row>
    <row r="539">
      <c r="F539" s="64"/>
      <c r="G539" s="83"/>
      <c r="H539" s="84"/>
    </row>
    <row r="540">
      <c r="F540" s="64"/>
      <c r="G540" s="83"/>
      <c r="H540" s="84"/>
    </row>
    <row r="541">
      <c r="F541" s="64"/>
      <c r="G541" s="83"/>
      <c r="H541" s="84"/>
    </row>
    <row r="542">
      <c r="F542" s="64"/>
      <c r="G542" s="83"/>
      <c r="H542" s="84"/>
    </row>
    <row r="543">
      <c r="F543" s="64"/>
      <c r="G543" s="83"/>
      <c r="H543" s="84"/>
    </row>
    <row r="544">
      <c r="F544" s="64"/>
      <c r="G544" s="83"/>
      <c r="H544" s="84"/>
    </row>
    <row r="545">
      <c r="F545" s="64"/>
      <c r="G545" s="83"/>
      <c r="H545" s="84"/>
    </row>
    <row r="546">
      <c r="F546" s="64"/>
      <c r="G546" s="83"/>
      <c r="H546" s="84"/>
    </row>
    <row r="547">
      <c r="F547" s="64"/>
      <c r="G547" s="83"/>
      <c r="H547" s="84"/>
    </row>
    <row r="548">
      <c r="F548" s="64"/>
      <c r="G548" s="83"/>
      <c r="H548" s="84"/>
    </row>
    <row r="549">
      <c r="F549" s="64"/>
      <c r="G549" s="83"/>
      <c r="H549" s="84"/>
    </row>
    <row r="550">
      <c r="F550" s="64"/>
      <c r="G550" s="83"/>
      <c r="H550" s="84"/>
    </row>
    <row r="551">
      <c r="F551" s="64"/>
      <c r="G551" s="83"/>
      <c r="H551" s="84"/>
    </row>
    <row r="552">
      <c r="F552" s="64"/>
      <c r="G552" s="83"/>
      <c r="H552" s="84"/>
    </row>
    <row r="553">
      <c r="F553" s="64"/>
      <c r="G553" s="83"/>
      <c r="H553" s="84"/>
    </row>
    <row r="554">
      <c r="F554" s="64"/>
      <c r="G554" s="83"/>
      <c r="H554" s="84"/>
    </row>
    <row r="555">
      <c r="F555" s="64"/>
      <c r="G555" s="83"/>
      <c r="H555" s="84"/>
    </row>
    <row r="556">
      <c r="F556" s="64"/>
      <c r="G556" s="83"/>
      <c r="H556" s="84"/>
    </row>
    <row r="557">
      <c r="F557" s="64"/>
      <c r="G557" s="83"/>
      <c r="H557" s="84"/>
    </row>
    <row r="558">
      <c r="F558" s="64"/>
      <c r="G558" s="83"/>
      <c r="H558" s="84"/>
    </row>
    <row r="559">
      <c r="F559" s="64"/>
      <c r="G559" s="83"/>
      <c r="H559" s="84"/>
    </row>
    <row r="560">
      <c r="F560" s="64"/>
      <c r="G560" s="83"/>
      <c r="H560" s="84"/>
    </row>
    <row r="561">
      <c r="F561" s="64"/>
      <c r="G561" s="83"/>
      <c r="H561" s="84"/>
    </row>
    <row r="562">
      <c r="F562" s="64"/>
      <c r="G562" s="83"/>
      <c r="H562" s="84"/>
    </row>
    <row r="563">
      <c r="F563" s="64"/>
      <c r="G563" s="83"/>
      <c r="H563" s="84"/>
    </row>
    <row r="564">
      <c r="F564" s="64"/>
      <c r="G564" s="83"/>
      <c r="H564" s="84"/>
    </row>
    <row r="565">
      <c r="F565" s="64"/>
      <c r="G565" s="83"/>
      <c r="H565" s="84"/>
    </row>
    <row r="566">
      <c r="F566" s="64"/>
      <c r="G566" s="83"/>
      <c r="H566" s="84"/>
    </row>
    <row r="567">
      <c r="F567" s="64"/>
      <c r="G567" s="83"/>
      <c r="H567" s="84"/>
    </row>
    <row r="568">
      <c r="F568" s="64"/>
      <c r="G568" s="83"/>
      <c r="H568" s="84"/>
    </row>
    <row r="569">
      <c r="F569" s="64"/>
      <c r="G569" s="83"/>
      <c r="H569" s="84"/>
    </row>
    <row r="570">
      <c r="F570" s="64"/>
      <c r="G570" s="83"/>
      <c r="H570" s="84"/>
    </row>
    <row r="571">
      <c r="F571" s="64"/>
      <c r="G571" s="83"/>
      <c r="H571" s="84"/>
    </row>
    <row r="572">
      <c r="F572" s="64"/>
      <c r="G572" s="83"/>
      <c r="H572" s="84"/>
    </row>
    <row r="573">
      <c r="F573" s="64"/>
      <c r="G573" s="83"/>
      <c r="H573" s="84"/>
    </row>
    <row r="574">
      <c r="F574" s="64"/>
      <c r="G574" s="83"/>
      <c r="H574" s="84"/>
    </row>
    <row r="575">
      <c r="F575" s="64"/>
      <c r="G575" s="83"/>
      <c r="H575" s="84"/>
    </row>
    <row r="576">
      <c r="F576" s="64"/>
      <c r="G576" s="83"/>
      <c r="H576" s="84"/>
    </row>
    <row r="577">
      <c r="F577" s="64"/>
      <c r="G577" s="83"/>
      <c r="H577" s="84"/>
    </row>
    <row r="578">
      <c r="F578" s="64"/>
      <c r="G578" s="83"/>
      <c r="H578" s="84"/>
    </row>
    <row r="579">
      <c r="F579" s="64"/>
      <c r="G579" s="83"/>
      <c r="H579" s="84"/>
    </row>
    <row r="580">
      <c r="F580" s="64"/>
      <c r="G580" s="83"/>
      <c r="H580" s="84"/>
    </row>
    <row r="581">
      <c r="F581" s="64"/>
      <c r="G581" s="83"/>
      <c r="H581" s="84"/>
    </row>
    <row r="582">
      <c r="F582" s="64"/>
      <c r="G582" s="83"/>
      <c r="H582" s="84"/>
    </row>
    <row r="583">
      <c r="F583" s="64"/>
      <c r="G583" s="83"/>
      <c r="H583" s="84"/>
    </row>
    <row r="584">
      <c r="F584" s="64"/>
      <c r="G584" s="83"/>
      <c r="H584" s="84"/>
    </row>
    <row r="585">
      <c r="F585" s="64"/>
      <c r="G585" s="83"/>
      <c r="H585" s="84"/>
    </row>
    <row r="586">
      <c r="F586" s="64"/>
      <c r="G586" s="83"/>
      <c r="H586" s="84"/>
    </row>
    <row r="587">
      <c r="F587" s="64"/>
      <c r="G587" s="83"/>
      <c r="H587" s="84"/>
    </row>
    <row r="588">
      <c r="F588" s="64"/>
      <c r="G588" s="83"/>
      <c r="H588" s="84"/>
    </row>
    <row r="589">
      <c r="F589" s="64"/>
      <c r="G589" s="83"/>
      <c r="H589" s="84"/>
    </row>
    <row r="590">
      <c r="F590" s="64"/>
      <c r="G590" s="83"/>
      <c r="H590" s="84"/>
    </row>
    <row r="591">
      <c r="F591" s="64"/>
      <c r="G591" s="83"/>
      <c r="H591" s="84"/>
    </row>
    <row r="592">
      <c r="F592" s="64"/>
      <c r="G592" s="83"/>
      <c r="H592" s="84"/>
    </row>
    <row r="593">
      <c r="F593" s="64"/>
      <c r="G593" s="83"/>
      <c r="H593" s="84"/>
    </row>
    <row r="594">
      <c r="F594" s="64"/>
      <c r="G594" s="83"/>
      <c r="H594" s="84"/>
    </row>
    <row r="595">
      <c r="F595" s="64"/>
      <c r="G595" s="83"/>
      <c r="H595" s="84"/>
    </row>
    <row r="596">
      <c r="F596" s="64"/>
      <c r="G596" s="83"/>
      <c r="H596" s="84"/>
    </row>
    <row r="597">
      <c r="F597" s="64"/>
      <c r="G597" s="83"/>
      <c r="H597" s="84"/>
    </row>
    <row r="598">
      <c r="F598" s="64"/>
      <c r="G598" s="83"/>
      <c r="H598" s="84"/>
    </row>
    <row r="599">
      <c r="F599" s="64"/>
      <c r="G599" s="83"/>
      <c r="H599" s="84"/>
    </row>
    <row r="600">
      <c r="F600" s="64"/>
      <c r="G600" s="83"/>
      <c r="H600" s="84"/>
    </row>
    <row r="601">
      <c r="F601" s="64"/>
      <c r="G601" s="83"/>
      <c r="H601" s="84"/>
    </row>
    <row r="602">
      <c r="F602" s="64"/>
      <c r="G602" s="83"/>
      <c r="H602" s="84"/>
    </row>
    <row r="603">
      <c r="F603" s="64"/>
      <c r="G603" s="83"/>
      <c r="H603" s="84"/>
    </row>
    <row r="604">
      <c r="F604" s="64"/>
      <c r="G604" s="83"/>
      <c r="H604" s="84"/>
    </row>
    <row r="605">
      <c r="F605" s="64"/>
      <c r="G605" s="83"/>
      <c r="H605" s="84"/>
    </row>
    <row r="606">
      <c r="F606" s="64"/>
      <c r="G606" s="83"/>
      <c r="H606" s="84"/>
    </row>
    <row r="607">
      <c r="F607" s="64"/>
      <c r="G607" s="83"/>
      <c r="H607" s="84"/>
    </row>
    <row r="608">
      <c r="F608" s="64"/>
      <c r="G608" s="83"/>
      <c r="H608" s="84"/>
    </row>
    <row r="609">
      <c r="F609" s="64"/>
      <c r="G609" s="83"/>
      <c r="H609" s="84"/>
    </row>
    <row r="610">
      <c r="F610" s="64"/>
      <c r="G610" s="83"/>
      <c r="H610" s="84"/>
    </row>
    <row r="611">
      <c r="F611" s="64"/>
      <c r="G611" s="83"/>
      <c r="H611" s="84"/>
    </row>
    <row r="612">
      <c r="F612" s="64"/>
      <c r="G612" s="83"/>
      <c r="H612" s="84"/>
    </row>
    <row r="613">
      <c r="F613" s="64"/>
      <c r="G613" s="83"/>
      <c r="H613" s="84"/>
    </row>
    <row r="614">
      <c r="F614" s="64"/>
      <c r="G614" s="83"/>
      <c r="H614" s="84"/>
    </row>
    <row r="615">
      <c r="F615" s="64"/>
      <c r="G615" s="83"/>
      <c r="H615" s="84"/>
    </row>
    <row r="616">
      <c r="F616" s="64"/>
      <c r="G616" s="83"/>
      <c r="H616" s="84"/>
    </row>
    <row r="617">
      <c r="F617" s="64"/>
      <c r="G617" s="83"/>
      <c r="H617" s="84"/>
    </row>
    <row r="618">
      <c r="F618" s="64"/>
      <c r="G618" s="83"/>
      <c r="H618" s="84"/>
    </row>
    <row r="619">
      <c r="F619" s="64"/>
      <c r="G619" s="83"/>
      <c r="H619" s="84"/>
    </row>
    <row r="620">
      <c r="F620" s="64"/>
      <c r="G620" s="83"/>
      <c r="H620" s="84"/>
    </row>
    <row r="621">
      <c r="F621" s="64"/>
      <c r="G621" s="83"/>
      <c r="H621" s="84"/>
    </row>
    <row r="622">
      <c r="F622" s="64"/>
      <c r="G622" s="83"/>
      <c r="H622" s="84"/>
    </row>
    <row r="623">
      <c r="F623" s="64"/>
      <c r="G623" s="83"/>
      <c r="H623" s="84"/>
    </row>
    <row r="624">
      <c r="F624" s="64"/>
      <c r="G624" s="83"/>
      <c r="H624" s="84"/>
    </row>
    <row r="625">
      <c r="F625" s="64"/>
      <c r="G625" s="83"/>
      <c r="H625" s="84"/>
    </row>
    <row r="626">
      <c r="F626" s="64"/>
      <c r="G626" s="83"/>
      <c r="H626" s="84"/>
    </row>
    <row r="627">
      <c r="F627" s="64"/>
      <c r="G627" s="83"/>
      <c r="H627" s="84"/>
    </row>
    <row r="628">
      <c r="F628" s="64"/>
      <c r="G628" s="83"/>
      <c r="H628" s="84"/>
    </row>
    <row r="629">
      <c r="F629" s="64"/>
      <c r="G629" s="83"/>
      <c r="H629" s="84"/>
    </row>
    <row r="630">
      <c r="F630" s="64"/>
      <c r="G630" s="83"/>
      <c r="H630" s="84"/>
    </row>
    <row r="631">
      <c r="F631" s="64"/>
      <c r="G631" s="83"/>
      <c r="H631" s="84"/>
    </row>
    <row r="632">
      <c r="F632" s="64"/>
      <c r="G632" s="83"/>
      <c r="H632" s="84"/>
    </row>
    <row r="633">
      <c r="F633" s="64"/>
      <c r="G633" s="83"/>
      <c r="H633" s="84"/>
    </row>
    <row r="634">
      <c r="F634" s="64"/>
      <c r="G634" s="83"/>
      <c r="H634" s="84"/>
    </row>
    <row r="635">
      <c r="F635" s="64"/>
      <c r="G635" s="83"/>
      <c r="H635" s="84"/>
    </row>
    <row r="636">
      <c r="F636" s="64"/>
      <c r="G636" s="83"/>
      <c r="H636" s="84"/>
    </row>
    <row r="637">
      <c r="F637" s="64"/>
      <c r="G637" s="83"/>
      <c r="H637" s="84"/>
    </row>
    <row r="638">
      <c r="F638" s="64"/>
      <c r="G638" s="83"/>
      <c r="H638" s="84"/>
    </row>
    <row r="639">
      <c r="F639" s="64"/>
      <c r="G639" s="83"/>
      <c r="H639" s="84"/>
    </row>
    <row r="640">
      <c r="F640" s="64"/>
      <c r="G640" s="83"/>
      <c r="H640" s="84"/>
    </row>
    <row r="641">
      <c r="F641" s="64"/>
      <c r="G641" s="83"/>
      <c r="H641" s="84"/>
    </row>
    <row r="642">
      <c r="F642" s="64"/>
      <c r="G642" s="83"/>
      <c r="H642" s="84"/>
    </row>
    <row r="643">
      <c r="F643" s="64"/>
      <c r="G643" s="83"/>
      <c r="H643" s="84"/>
    </row>
    <row r="644">
      <c r="F644" s="64"/>
      <c r="G644" s="83"/>
      <c r="H644" s="84"/>
    </row>
    <row r="645">
      <c r="F645" s="64"/>
      <c r="G645" s="83"/>
      <c r="H645" s="84"/>
    </row>
    <row r="646">
      <c r="F646" s="64"/>
      <c r="G646" s="83"/>
      <c r="H646" s="84"/>
    </row>
    <row r="647">
      <c r="F647" s="64"/>
      <c r="G647" s="83"/>
      <c r="H647" s="84"/>
    </row>
    <row r="648">
      <c r="F648" s="64"/>
      <c r="G648" s="83"/>
      <c r="H648" s="84"/>
    </row>
    <row r="649">
      <c r="F649" s="64"/>
      <c r="G649" s="83"/>
      <c r="H649" s="84"/>
    </row>
    <row r="650">
      <c r="F650" s="64"/>
      <c r="G650" s="83"/>
      <c r="H650" s="84"/>
    </row>
    <row r="651">
      <c r="F651" s="64"/>
      <c r="G651" s="83"/>
      <c r="H651" s="84"/>
    </row>
    <row r="652">
      <c r="F652" s="64"/>
      <c r="G652" s="83"/>
      <c r="H652" s="84"/>
    </row>
    <row r="653">
      <c r="F653" s="64"/>
      <c r="G653" s="83"/>
      <c r="H653" s="84"/>
    </row>
    <row r="654">
      <c r="F654" s="64"/>
      <c r="G654" s="83"/>
      <c r="H654" s="84"/>
    </row>
    <row r="655">
      <c r="F655" s="64"/>
      <c r="G655" s="83"/>
      <c r="H655" s="84"/>
    </row>
    <row r="656">
      <c r="F656" s="64"/>
      <c r="G656" s="83"/>
      <c r="H656" s="84"/>
    </row>
    <row r="657">
      <c r="F657" s="64"/>
      <c r="G657" s="83"/>
      <c r="H657" s="84"/>
    </row>
    <row r="658">
      <c r="F658" s="64"/>
      <c r="G658" s="83"/>
      <c r="H658" s="84"/>
    </row>
    <row r="659">
      <c r="F659" s="64"/>
      <c r="G659" s="83"/>
      <c r="H659" s="84"/>
    </row>
    <row r="660">
      <c r="F660" s="64"/>
      <c r="G660" s="83"/>
      <c r="H660" s="84"/>
    </row>
    <row r="661">
      <c r="F661" s="64"/>
      <c r="G661" s="83"/>
      <c r="H661" s="84"/>
    </row>
    <row r="662">
      <c r="F662" s="64"/>
      <c r="G662" s="83"/>
      <c r="H662" s="84"/>
    </row>
    <row r="663">
      <c r="F663" s="64"/>
      <c r="G663" s="83"/>
      <c r="H663" s="84"/>
    </row>
    <row r="664">
      <c r="F664" s="64"/>
      <c r="G664" s="83"/>
      <c r="H664" s="84"/>
    </row>
    <row r="665">
      <c r="F665" s="64"/>
      <c r="G665" s="83"/>
      <c r="H665" s="84"/>
    </row>
    <row r="666">
      <c r="F666" s="64"/>
      <c r="G666" s="83"/>
      <c r="H666" s="84"/>
    </row>
    <row r="667">
      <c r="F667" s="64"/>
      <c r="G667" s="83"/>
      <c r="H667" s="84"/>
    </row>
    <row r="668">
      <c r="F668" s="64"/>
      <c r="G668" s="83"/>
      <c r="H668" s="84"/>
    </row>
    <row r="669">
      <c r="F669" s="64"/>
      <c r="G669" s="83"/>
      <c r="H669" s="84"/>
    </row>
    <row r="670">
      <c r="F670" s="64"/>
      <c r="G670" s="83"/>
      <c r="H670" s="84"/>
    </row>
    <row r="671">
      <c r="F671" s="64"/>
      <c r="G671" s="83"/>
      <c r="H671" s="84"/>
    </row>
    <row r="672">
      <c r="F672" s="64"/>
      <c r="G672" s="83"/>
      <c r="H672" s="84"/>
    </row>
    <row r="673">
      <c r="F673" s="64"/>
      <c r="G673" s="83"/>
      <c r="H673" s="84"/>
    </row>
    <row r="674">
      <c r="F674" s="64"/>
      <c r="G674" s="83"/>
      <c r="H674" s="84"/>
    </row>
    <row r="675">
      <c r="F675" s="64"/>
      <c r="G675" s="83"/>
      <c r="H675" s="84"/>
    </row>
    <row r="676">
      <c r="F676" s="64"/>
      <c r="G676" s="83"/>
      <c r="H676" s="84"/>
    </row>
    <row r="677">
      <c r="F677" s="64"/>
      <c r="G677" s="83"/>
      <c r="H677" s="84"/>
    </row>
    <row r="678">
      <c r="F678" s="64"/>
      <c r="G678" s="83"/>
      <c r="H678" s="84"/>
    </row>
    <row r="679">
      <c r="F679" s="64"/>
      <c r="G679" s="83"/>
      <c r="H679" s="84"/>
    </row>
    <row r="680">
      <c r="F680" s="64"/>
      <c r="G680" s="83"/>
      <c r="H680" s="84"/>
    </row>
    <row r="681">
      <c r="F681" s="64"/>
      <c r="G681" s="83"/>
      <c r="H681" s="84"/>
    </row>
    <row r="682">
      <c r="F682" s="64"/>
      <c r="G682" s="83"/>
      <c r="H682" s="84"/>
    </row>
    <row r="683">
      <c r="F683" s="64"/>
      <c r="G683" s="83"/>
      <c r="H683" s="84"/>
    </row>
    <row r="684">
      <c r="F684" s="64"/>
      <c r="G684" s="83"/>
      <c r="H684" s="84"/>
    </row>
    <row r="685">
      <c r="F685" s="64"/>
      <c r="G685" s="83"/>
      <c r="H685" s="84"/>
    </row>
    <row r="686">
      <c r="F686" s="64"/>
      <c r="G686" s="83"/>
      <c r="H686" s="84"/>
    </row>
    <row r="687">
      <c r="F687" s="64"/>
      <c r="G687" s="83"/>
      <c r="H687" s="84"/>
    </row>
    <row r="688">
      <c r="F688" s="64"/>
      <c r="G688" s="83"/>
      <c r="H688" s="84"/>
    </row>
    <row r="689">
      <c r="F689" s="64"/>
      <c r="G689" s="83"/>
      <c r="H689" s="84"/>
    </row>
    <row r="690">
      <c r="F690" s="64"/>
      <c r="G690" s="83"/>
      <c r="H690" s="84"/>
    </row>
    <row r="691">
      <c r="F691" s="64"/>
      <c r="G691" s="83"/>
      <c r="H691" s="84"/>
    </row>
    <row r="692">
      <c r="F692" s="64"/>
      <c r="G692" s="83"/>
      <c r="H692" s="84"/>
    </row>
    <row r="693">
      <c r="F693" s="64"/>
      <c r="G693" s="83"/>
      <c r="H693" s="84"/>
    </row>
    <row r="694">
      <c r="F694" s="64"/>
      <c r="G694" s="83"/>
      <c r="H694" s="84"/>
    </row>
    <row r="695">
      <c r="F695" s="64"/>
      <c r="G695" s="83"/>
      <c r="H695" s="84"/>
    </row>
    <row r="696">
      <c r="F696" s="64"/>
      <c r="G696" s="83"/>
      <c r="H696" s="84"/>
    </row>
    <row r="697">
      <c r="F697" s="64"/>
      <c r="G697" s="83"/>
      <c r="H697" s="84"/>
    </row>
    <row r="698">
      <c r="F698" s="64"/>
      <c r="G698" s="83"/>
      <c r="H698" s="84"/>
    </row>
    <row r="699">
      <c r="F699" s="64"/>
      <c r="G699" s="83"/>
      <c r="H699" s="84"/>
    </row>
    <row r="700">
      <c r="F700" s="64"/>
      <c r="G700" s="83"/>
      <c r="H700" s="84"/>
    </row>
    <row r="701">
      <c r="F701" s="64"/>
      <c r="G701" s="83"/>
      <c r="H701" s="84"/>
    </row>
    <row r="702">
      <c r="F702" s="64"/>
      <c r="G702" s="83"/>
      <c r="H702" s="84"/>
    </row>
    <row r="703">
      <c r="F703" s="64"/>
      <c r="G703" s="83"/>
      <c r="H703" s="84"/>
    </row>
    <row r="704">
      <c r="F704" s="64"/>
      <c r="G704" s="83"/>
      <c r="H704" s="84"/>
    </row>
    <row r="705">
      <c r="F705" s="64"/>
      <c r="G705" s="83"/>
      <c r="H705" s="84"/>
    </row>
    <row r="706">
      <c r="F706" s="64"/>
      <c r="G706" s="83"/>
      <c r="H706" s="84"/>
    </row>
    <row r="707">
      <c r="F707" s="64"/>
      <c r="G707" s="83"/>
      <c r="H707" s="84"/>
    </row>
    <row r="708">
      <c r="F708" s="64"/>
      <c r="G708" s="83"/>
      <c r="H708" s="84"/>
    </row>
    <row r="709">
      <c r="F709" s="64"/>
      <c r="G709" s="83"/>
      <c r="H709" s="84"/>
    </row>
    <row r="710">
      <c r="F710" s="64"/>
      <c r="G710" s="83"/>
      <c r="H710" s="84"/>
    </row>
    <row r="711">
      <c r="F711" s="64"/>
      <c r="G711" s="83"/>
      <c r="H711" s="84"/>
    </row>
    <row r="712">
      <c r="F712" s="64"/>
      <c r="G712" s="83"/>
      <c r="H712" s="84"/>
    </row>
    <row r="713">
      <c r="F713" s="64"/>
      <c r="G713" s="83"/>
      <c r="H713" s="84"/>
    </row>
    <row r="714">
      <c r="F714" s="64"/>
      <c r="G714" s="83"/>
      <c r="H714" s="84"/>
    </row>
    <row r="715">
      <c r="F715" s="64"/>
      <c r="G715" s="83"/>
      <c r="H715" s="84"/>
    </row>
    <row r="716">
      <c r="F716" s="64"/>
      <c r="G716" s="83"/>
      <c r="H716" s="84"/>
    </row>
    <row r="717">
      <c r="F717" s="64"/>
      <c r="G717" s="83"/>
      <c r="H717" s="84"/>
    </row>
    <row r="718">
      <c r="F718" s="64"/>
      <c r="G718" s="83"/>
      <c r="H718" s="84"/>
    </row>
    <row r="719">
      <c r="F719" s="64"/>
      <c r="G719" s="83"/>
      <c r="H719" s="84"/>
    </row>
    <row r="720">
      <c r="F720" s="64"/>
      <c r="G720" s="83"/>
      <c r="H720" s="84"/>
    </row>
    <row r="721">
      <c r="F721" s="64"/>
      <c r="G721" s="83"/>
      <c r="H721" s="84"/>
    </row>
    <row r="722">
      <c r="F722" s="64"/>
      <c r="G722" s="83"/>
      <c r="H722" s="84"/>
    </row>
    <row r="723">
      <c r="F723" s="64"/>
      <c r="G723" s="83"/>
      <c r="H723" s="84"/>
    </row>
    <row r="724">
      <c r="F724" s="64"/>
      <c r="G724" s="83"/>
      <c r="H724" s="84"/>
    </row>
    <row r="725">
      <c r="F725" s="64"/>
      <c r="G725" s="83"/>
      <c r="H725" s="84"/>
    </row>
    <row r="726">
      <c r="F726" s="64"/>
      <c r="G726" s="83"/>
      <c r="H726" s="84"/>
    </row>
    <row r="727">
      <c r="F727" s="64"/>
      <c r="G727" s="83"/>
      <c r="H727" s="84"/>
    </row>
    <row r="728">
      <c r="F728" s="64"/>
      <c r="G728" s="83"/>
      <c r="H728" s="84"/>
    </row>
    <row r="729">
      <c r="F729" s="64"/>
      <c r="G729" s="83"/>
      <c r="H729" s="84"/>
    </row>
    <row r="730">
      <c r="F730" s="64"/>
      <c r="G730" s="83"/>
      <c r="H730" s="84"/>
    </row>
    <row r="731">
      <c r="F731" s="64"/>
      <c r="G731" s="83"/>
      <c r="H731" s="84"/>
    </row>
    <row r="732">
      <c r="F732" s="64"/>
      <c r="G732" s="83"/>
      <c r="H732" s="84"/>
    </row>
    <row r="733">
      <c r="F733" s="64"/>
      <c r="G733" s="83"/>
      <c r="H733" s="84"/>
    </row>
    <row r="734">
      <c r="F734" s="64"/>
      <c r="G734" s="83"/>
      <c r="H734" s="84"/>
    </row>
    <row r="735">
      <c r="F735" s="64"/>
      <c r="G735" s="83"/>
      <c r="H735" s="84"/>
    </row>
    <row r="736">
      <c r="F736" s="64"/>
      <c r="G736" s="83"/>
      <c r="H736" s="84"/>
    </row>
    <row r="737">
      <c r="F737" s="64"/>
      <c r="G737" s="83"/>
      <c r="H737" s="84"/>
    </row>
    <row r="738">
      <c r="F738" s="64"/>
      <c r="G738" s="83"/>
      <c r="H738" s="84"/>
    </row>
    <row r="739">
      <c r="F739" s="64"/>
      <c r="G739" s="83"/>
      <c r="H739" s="84"/>
    </row>
    <row r="740">
      <c r="F740" s="64"/>
      <c r="G740" s="83"/>
      <c r="H740" s="84"/>
    </row>
    <row r="741">
      <c r="F741" s="64"/>
      <c r="G741" s="83"/>
      <c r="H741" s="84"/>
    </row>
    <row r="742">
      <c r="F742" s="64"/>
      <c r="G742" s="83"/>
      <c r="H742" s="84"/>
    </row>
    <row r="743">
      <c r="F743" s="64"/>
      <c r="G743" s="83"/>
      <c r="H743" s="84"/>
    </row>
    <row r="744">
      <c r="F744" s="64"/>
      <c r="G744" s="83"/>
      <c r="H744" s="84"/>
    </row>
    <row r="745">
      <c r="F745" s="64"/>
      <c r="G745" s="83"/>
      <c r="H745" s="84"/>
    </row>
    <row r="746">
      <c r="F746" s="64"/>
      <c r="G746" s="83"/>
      <c r="H746" s="84"/>
    </row>
    <row r="747">
      <c r="F747" s="64"/>
      <c r="G747" s="83"/>
      <c r="H747" s="84"/>
    </row>
    <row r="748">
      <c r="F748" s="64"/>
      <c r="G748" s="83"/>
      <c r="H748" s="84"/>
    </row>
    <row r="749">
      <c r="F749" s="64"/>
      <c r="G749" s="83"/>
      <c r="H749" s="84"/>
    </row>
    <row r="750">
      <c r="F750" s="64"/>
      <c r="G750" s="83"/>
      <c r="H750" s="84"/>
    </row>
    <row r="751">
      <c r="F751" s="64"/>
      <c r="G751" s="83"/>
      <c r="H751" s="84"/>
    </row>
    <row r="752">
      <c r="F752" s="64"/>
      <c r="G752" s="83"/>
      <c r="H752" s="84"/>
    </row>
    <row r="753">
      <c r="F753" s="64"/>
      <c r="G753" s="83"/>
      <c r="H753" s="84"/>
    </row>
    <row r="754">
      <c r="F754" s="64"/>
      <c r="G754" s="83"/>
      <c r="H754" s="84"/>
    </row>
    <row r="755">
      <c r="F755" s="64"/>
      <c r="G755" s="83"/>
      <c r="H755" s="84"/>
    </row>
    <row r="756">
      <c r="F756" s="64"/>
      <c r="G756" s="83"/>
      <c r="H756" s="84"/>
    </row>
    <row r="757">
      <c r="F757" s="64"/>
      <c r="G757" s="83"/>
      <c r="H757" s="84"/>
    </row>
    <row r="758">
      <c r="F758" s="64"/>
      <c r="G758" s="83"/>
      <c r="H758" s="84"/>
    </row>
    <row r="759">
      <c r="F759" s="64"/>
      <c r="G759" s="83"/>
      <c r="H759" s="84"/>
    </row>
    <row r="760">
      <c r="F760" s="64"/>
      <c r="G760" s="83"/>
      <c r="H760" s="84"/>
    </row>
    <row r="761">
      <c r="F761" s="64"/>
      <c r="G761" s="83"/>
      <c r="H761" s="84"/>
    </row>
    <row r="762">
      <c r="F762" s="64"/>
      <c r="G762" s="83"/>
      <c r="H762" s="84"/>
    </row>
    <row r="763">
      <c r="F763" s="64"/>
      <c r="G763" s="83"/>
      <c r="H763" s="84"/>
    </row>
    <row r="764">
      <c r="F764" s="64"/>
      <c r="G764" s="83"/>
      <c r="H764" s="84"/>
    </row>
    <row r="765">
      <c r="F765" s="64"/>
      <c r="G765" s="83"/>
      <c r="H765" s="84"/>
    </row>
    <row r="766">
      <c r="F766" s="64"/>
      <c r="G766" s="83"/>
      <c r="H766" s="84"/>
    </row>
    <row r="767">
      <c r="F767" s="64"/>
      <c r="G767" s="83"/>
      <c r="H767" s="84"/>
    </row>
    <row r="768">
      <c r="F768" s="64"/>
      <c r="G768" s="83"/>
      <c r="H768" s="84"/>
    </row>
    <row r="769">
      <c r="F769" s="64"/>
      <c r="G769" s="83"/>
      <c r="H769" s="84"/>
    </row>
    <row r="770">
      <c r="F770" s="64"/>
      <c r="G770" s="83"/>
      <c r="H770" s="84"/>
    </row>
    <row r="771">
      <c r="F771" s="64"/>
      <c r="G771" s="83"/>
      <c r="H771" s="84"/>
    </row>
    <row r="772">
      <c r="F772" s="64"/>
      <c r="G772" s="83"/>
      <c r="H772" s="84"/>
    </row>
    <row r="773">
      <c r="F773" s="64"/>
      <c r="G773" s="83"/>
      <c r="H773" s="84"/>
    </row>
    <row r="774">
      <c r="F774" s="64"/>
      <c r="G774" s="83"/>
      <c r="H774" s="84"/>
    </row>
    <row r="775">
      <c r="F775" s="64"/>
      <c r="G775" s="83"/>
      <c r="H775" s="84"/>
    </row>
    <row r="776">
      <c r="F776" s="64"/>
      <c r="G776" s="83"/>
      <c r="H776" s="84"/>
    </row>
    <row r="777">
      <c r="F777" s="64"/>
      <c r="G777" s="83"/>
      <c r="H777" s="84"/>
    </row>
    <row r="778">
      <c r="F778" s="64"/>
      <c r="G778" s="83"/>
      <c r="H778" s="84"/>
    </row>
    <row r="779">
      <c r="F779" s="64"/>
      <c r="G779" s="83"/>
      <c r="H779" s="84"/>
    </row>
    <row r="780">
      <c r="F780" s="64"/>
      <c r="G780" s="83"/>
      <c r="H780" s="84"/>
    </row>
    <row r="781">
      <c r="F781" s="64"/>
      <c r="G781" s="83"/>
      <c r="H781" s="84"/>
    </row>
    <row r="782">
      <c r="F782" s="64"/>
      <c r="G782" s="83"/>
      <c r="H782" s="84"/>
    </row>
    <row r="783">
      <c r="F783" s="64"/>
      <c r="G783" s="83"/>
      <c r="H783" s="84"/>
    </row>
    <row r="784">
      <c r="F784" s="64"/>
      <c r="G784" s="83"/>
      <c r="H784" s="84"/>
    </row>
    <row r="785">
      <c r="F785" s="64"/>
      <c r="G785" s="83"/>
      <c r="H785" s="84"/>
    </row>
    <row r="786">
      <c r="F786" s="64"/>
      <c r="G786" s="83"/>
      <c r="H786" s="84"/>
    </row>
    <row r="787">
      <c r="F787" s="64"/>
      <c r="G787" s="83"/>
      <c r="H787" s="84"/>
    </row>
    <row r="788">
      <c r="F788" s="64"/>
      <c r="G788" s="83"/>
      <c r="H788" s="84"/>
    </row>
    <row r="789">
      <c r="F789" s="64"/>
      <c r="G789" s="83"/>
      <c r="H789" s="84"/>
    </row>
    <row r="790">
      <c r="F790" s="64"/>
      <c r="G790" s="83"/>
      <c r="H790" s="84"/>
    </row>
    <row r="791">
      <c r="F791" s="64"/>
      <c r="G791" s="83"/>
      <c r="H791" s="84"/>
    </row>
    <row r="792">
      <c r="F792" s="64"/>
      <c r="G792" s="83"/>
      <c r="H792" s="84"/>
    </row>
    <row r="793">
      <c r="F793" s="64"/>
      <c r="G793" s="83"/>
      <c r="H793" s="84"/>
    </row>
    <row r="794">
      <c r="F794" s="64"/>
      <c r="G794" s="83"/>
      <c r="H794" s="84"/>
    </row>
    <row r="795">
      <c r="F795" s="64"/>
      <c r="G795" s="83"/>
      <c r="H795" s="84"/>
    </row>
    <row r="796">
      <c r="F796" s="64"/>
      <c r="G796" s="83"/>
      <c r="H796" s="84"/>
    </row>
    <row r="797">
      <c r="F797" s="64"/>
      <c r="G797" s="83"/>
      <c r="H797" s="84"/>
    </row>
    <row r="798">
      <c r="F798" s="64"/>
      <c r="G798" s="83"/>
      <c r="H798" s="84"/>
    </row>
    <row r="799">
      <c r="F799" s="64"/>
      <c r="G799" s="83"/>
      <c r="H799" s="84"/>
    </row>
    <row r="800">
      <c r="F800" s="64"/>
      <c r="G800" s="83"/>
      <c r="H800" s="84"/>
    </row>
    <row r="801">
      <c r="F801" s="64"/>
      <c r="G801" s="83"/>
      <c r="H801" s="84"/>
    </row>
    <row r="802">
      <c r="F802" s="64"/>
      <c r="G802" s="83"/>
      <c r="H802" s="84"/>
    </row>
    <row r="803">
      <c r="F803" s="64"/>
      <c r="G803" s="83"/>
      <c r="H803" s="84"/>
    </row>
    <row r="804">
      <c r="F804" s="64"/>
      <c r="G804" s="83"/>
      <c r="H804" s="84"/>
    </row>
    <row r="805">
      <c r="F805" s="64"/>
      <c r="G805" s="83"/>
      <c r="H805" s="84"/>
    </row>
    <row r="806">
      <c r="F806" s="64"/>
      <c r="G806" s="83"/>
      <c r="H806" s="84"/>
    </row>
    <row r="807">
      <c r="F807" s="64"/>
      <c r="G807" s="83"/>
      <c r="H807" s="84"/>
    </row>
    <row r="808">
      <c r="F808" s="64"/>
      <c r="G808" s="83"/>
      <c r="H808" s="84"/>
    </row>
    <row r="809">
      <c r="F809" s="64"/>
      <c r="G809" s="83"/>
      <c r="H809" s="84"/>
    </row>
    <row r="810">
      <c r="F810" s="64"/>
      <c r="G810" s="83"/>
      <c r="H810" s="84"/>
    </row>
    <row r="811">
      <c r="F811" s="64"/>
      <c r="G811" s="83"/>
      <c r="H811" s="84"/>
    </row>
    <row r="812">
      <c r="F812" s="64"/>
      <c r="G812" s="83"/>
      <c r="H812" s="84"/>
    </row>
    <row r="813">
      <c r="F813" s="64"/>
      <c r="G813" s="83"/>
      <c r="H813" s="84"/>
    </row>
    <row r="814">
      <c r="F814" s="64"/>
      <c r="G814" s="83"/>
      <c r="H814" s="84"/>
    </row>
    <row r="815">
      <c r="F815" s="64"/>
      <c r="G815" s="83"/>
      <c r="H815" s="84"/>
    </row>
    <row r="816">
      <c r="F816" s="64"/>
      <c r="G816" s="83"/>
      <c r="H816" s="84"/>
    </row>
    <row r="817">
      <c r="F817" s="64"/>
      <c r="G817" s="83"/>
      <c r="H817" s="84"/>
    </row>
    <row r="818">
      <c r="F818" s="64"/>
      <c r="G818" s="83"/>
      <c r="H818" s="84"/>
    </row>
    <row r="819">
      <c r="F819" s="64"/>
      <c r="G819" s="83"/>
      <c r="H819" s="84"/>
    </row>
    <row r="820">
      <c r="F820" s="64"/>
      <c r="G820" s="83"/>
      <c r="H820" s="84"/>
    </row>
    <row r="821">
      <c r="F821" s="64"/>
      <c r="G821" s="83"/>
      <c r="H821" s="84"/>
    </row>
    <row r="822">
      <c r="F822" s="64"/>
      <c r="G822" s="83"/>
      <c r="H822" s="84"/>
    </row>
    <row r="823">
      <c r="F823" s="64"/>
      <c r="G823" s="83"/>
      <c r="H823" s="84"/>
    </row>
    <row r="824">
      <c r="F824" s="64"/>
      <c r="G824" s="83"/>
      <c r="H824" s="84"/>
    </row>
    <row r="825">
      <c r="F825" s="64"/>
      <c r="G825" s="83"/>
      <c r="H825" s="84"/>
    </row>
    <row r="826">
      <c r="F826" s="64"/>
      <c r="G826" s="83"/>
      <c r="H826" s="84"/>
    </row>
    <row r="827">
      <c r="F827" s="64"/>
      <c r="G827" s="83"/>
      <c r="H827" s="84"/>
    </row>
    <row r="828">
      <c r="F828" s="64"/>
      <c r="G828" s="83"/>
      <c r="H828" s="84"/>
    </row>
    <row r="829">
      <c r="F829" s="64"/>
      <c r="G829" s="83"/>
      <c r="H829" s="84"/>
    </row>
    <row r="830">
      <c r="F830" s="64"/>
      <c r="G830" s="83"/>
      <c r="H830" s="84"/>
    </row>
    <row r="831">
      <c r="F831" s="64"/>
      <c r="G831" s="83"/>
      <c r="H831" s="84"/>
    </row>
    <row r="832">
      <c r="F832" s="64"/>
      <c r="G832" s="83"/>
      <c r="H832" s="84"/>
    </row>
    <row r="833">
      <c r="F833" s="64"/>
      <c r="G833" s="83"/>
      <c r="H833" s="84"/>
    </row>
    <row r="834">
      <c r="F834" s="64"/>
      <c r="G834" s="83"/>
      <c r="H834" s="84"/>
    </row>
    <row r="835">
      <c r="F835" s="64"/>
      <c r="G835" s="83"/>
      <c r="H835" s="84"/>
    </row>
    <row r="836">
      <c r="F836" s="64"/>
      <c r="G836" s="83"/>
      <c r="H836" s="84"/>
    </row>
    <row r="837">
      <c r="F837" s="64"/>
      <c r="G837" s="83"/>
      <c r="H837" s="84"/>
    </row>
    <row r="838">
      <c r="F838" s="64"/>
      <c r="G838" s="83"/>
      <c r="H838" s="84"/>
    </row>
    <row r="839">
      <c r="F839" s="64"/>
      <c r="G839" s="83"/>
      <c r="H839" s="84"/>
    </row>
    <row r="840">
      <c r="F840" s="64"/>
      <c r="G840" s="83"/>
      <c r="H840" s="84"/>
    </row>
    <row r="841">
      <c r="F841" s="64"/>
      <c r="G841" s="83"/>
      <c r="H841" s="84"/>
    </row>
    <row r="842">
      <c r="F842" s="64"/>
      <c r="G842" s="83"/>
      <c r="H842" s="84"/>
    </row>
    <row r="843">
      <c r="F843" s="64"/>
      <c r="G843" s="83"/>
      <c r="H843" s="84"/>
    </row>
    <row r="844">
      <c r="F844" s="64"/>
      <c r="G844" s="83"/>
      <c r="H844" s="84"/>
    </row>
    <row r="845">
      <c r="F845" s="64"/>
      <c r="G845" s="83"/>
      <c r="H845" s="84"/>
    </row>
    <row r="846">
      <c r="F846" s="64"/>
      <c r="G846" s="83"/>
      <c r="H846" s="84"/>
    </row>
    <row r="847">
      <c r="F847" s="64"/>
      <c r="G847" s="83"/>
      <c r="H847" s="84"/>
    </row>
    <row r="848">
      <c r="F848" s="64"/>
      <c r="G848" s="83"/>
      <c r="H848" s="84"/>
    </row>
    <row r="849">
      <c r="F849" s="64"/>
      <c r="G849" s="83"/>
      <c r="H849" s="84"/>
    </row>
    <row r="850">
      <c r="F850" s="64"/>
      <c r="G850" s="83"/>
      <c r="H850" s="84"/>
    </row>
    <row r="851">
      <c r="F851" s="64"/>
      <c r="G851" s="83"/>
      <c r="H851" s="84"/>
    </row>
    <row r="852">
      <c r="F852" s="64"/>
      <c r="G852" s="83"/>
      <c r="H852" s="84"/>
    </row>
    <row r="853">
      <c r="F853" s="64"/>
      <c r="G853" s="83"/>
      <c r="H853" s="84"/>
    </row>
    <row r="854">
      <c r="F854" s="64"/>
      <c r="G854" s="83"/>
      <c r="H854" s="84"/>
    </row>
    <row r="855">
      <c r="F855" s="64"/>
      <c r="G855" s="83"/>
      <c r="H855" s="84"/>
    </row>
    <row r="856">
      <c r="F856" s="64"/>
      <c r="G856" s="83"/>
      <c r="H856" s="84"/>
    </row>
    <row r="857">
      <c r="F857" s="64"/>
      <c r="G857" s="83"/>
      <c r="H857" s="84"/>
    </row>
    <row r="858">
      <c r="F858" s="64"/>
      <c r="G858" s="83"/>
      <c r="H858" s="84"/>
    </row>
    <row r="859">
      <c r="F859" s="64"/>
      <c r="G859" s="83"/>
      <c r="H859" s="84"/>
    </row>
    <row r="860">
      <c r="F860" s="64"/>
      <c r="G860" s="83"/>
      <c r="H860" s="84"/>
    </row>
    <row r="861">
      <c r="F861" s="64"/>
      <c r="G861" s="83"/>
      <c r="H861" s="84"/>
    </row>
    <row r="862">
      <c r="F862" s="64"/>
      <c r="G862" s="83"/>
      <c r="H862" s="84"/>
    </row>
    <row r="863">
      <c r="F863" s="64"/>
      <c r="G863" s="83"/>
      <c r="H863" s="84"/>
    </row>
    <row r="864">
      <c r="F864" s="64"/>
      <c r="G864" s="83"/>
      <c r="H864" s="84"/>
    </row>
    <row r="865">
      <c r="F865" s="64"/>
      <c r="G865" s="83"/>
      <c r="H865" s="84"/>
    </row>
    <row r="866">
      <c r="F866" s="64"/>
      <c r="G866" s="83"/>
      <c r="H866" s="84"/>
    </row>
    <row r="867">
      <c r="F867" s="64"/>
      <c r="G867" s="83"/>
      <c r="H867" s="84"/>
    </row>
    <row r="868">
      <c r="F868" s="64"/>
      <c r="G868" s="83"/>
      <c r="H868" s="84"/>
    </row>
    <row r="869">
      <c r="F869" s="64"/>
      <c r="G869" s="83"/>
      <c r="H869" s="84"/>
    </row>
    <row r="870">
      <c r="F870" s="64"/>
      <c r="G870" s="83"/>
      <c r="H870" s="84"/>
    </row>
    <row r="871">
      <c r="F871" s="64"/>
      <c r="G871" s="83"/>
      <c r="H871" s="84"/>
    </row>
    <row r="872">
      <c r="F872" s="64"/>
      <c r="G872" s="83"/>
      <c r="H872" s="84"/>
    </row>
    <row r="873">
      <c r="F873" s="64"/>
      <c r="G873" s="83"/>
      <c r="H873" s="84"/>
    </row>
    <row r="874">
      <c r="F874" s="64"/>
      <c r="G874" s="83"/>
      <c r="H874" s="84"/>
    </row>
    <row r="875">
      <c r="F875" s="64"/>
      <c r="G875" s="83"/>
      <c r="H875" s="84"/>
    </row>
    <row r="876">
      <c r="F876" s="64"/>
      <c r="G876" s="83"/>
      <c r="H876" s="84"/>
    </row>
    <row r="877">
      <c r="F877" s="64"/>
      <c r="G877" s="83"/>
      <c r="H877" s="84"/>
    </row>
    <row r="878">
      <c r="F878" s="64"/>
      <c r="G878" s="83"/>
      <c r="H878" s="84"/>
    </row>
    <row r="879">
      <c r="F879" s="64"/>
      <c r="G879" s="83"/>
      <c r="H879" s="84"/>
    </row>
    <row r="880">
      <c r="F880" s="64"/>
      <c r="G880" s="83"/>
      <c r="H880" s="84"/>
    </row>
    <row r="881">
      <c r="F881" s="64"/>
      <c r="G881" s="83"/>
      <c r="H881" s="84"/>
    </row>
    <row r="882">
      <c r="F882" s="64"/>
      <c r="G882" s="83"/>
      <c r="H882" s="84"/>
    </row>
    <row r="883">
      <c r="F883" s="64"/>
      <c r="G883" s="83"/>
      <c r="H883" s="84"/>
    </row>
    <row r="884">
      <c r="F884" s="64"/>
      <c r="G884" s="83"/>
      <c r="H884" s="84"/>
    </row>
    <row r="885">
      <c r="F885" s="64"/>
      <c r="G885" s="83"/>
      <c r="H885" s="84"/>
    </row>
    <row r="886">
      <c r="F886" s="64"/>
      <c r="G886" s="83"/>
      <c r="H886" s="84"/>
    </row>
    <row r="887">
      <c r="F887" s="64"/>
      <c r="G887" s="83"/>
      <c r="H887" s="84"/>
    </row>
    <row r="888">
      <c r="F888" s="64"/>
      <c r="G888" s="83"/>
      <c r="H888" s="84"/>
    </row>
    <row r="889">
      <c r="F889" s="64"/>
      <c r="G889" s="83"/>
      <c r="H889" s="84"/>
    </row>
    <row r="890">
      <c r="F890" s="64"/>
      <c r="G890" s="83"/>
      <c r="H890" s="84"/>
    </row>
    <row r="891">
      <c r="F891" s="64"/>
      <c r="G891" s="83"/>
      <c r="H891" s="84"/>
    </row>
    <row r="892">
      <c r="F892" s="64"/>
      <c r="G892" s="83"/>
      <c r="H892" s="84"/>
    </row>
    <row r="893">
      <c r="F893" s="64"/>
      <c r="G893" s="83"/>
      <c r="H893" s="84"/>
    </row>
    <row r="894">
      <c r="F894" s="64"/>
      <c r="G894" s="83"/>
      <c r="H894" s="84"/>
    </row>
    <row r="895">
      <c r="F895" s="64"/>
      <c r="G895" s="83"/>
      <c r="H895" s="84"/>
    </row>
    <row r="896">
      <c r="F896" s="64"/>
      <c r="G896" s="83"/>
      <c r="H896" s="84"/>
    </row>
    <row r="897">
      <c r="F897" s="64"/>
      <c r="G897" s="83"/>
      <c r="H897" s="84"/>
    </row>
    <row r="898">
      <c r="F898" s="64"/>
      <c r="G898" s="83"/>
      <c r="H898" s="84"/>
    </row>
    <row r="899">
      <c r="F899" s="64"/>
      <c r="G899" s="83"/>
      <c r="H899" s="84"/>
    </row>
    <row r="900">
      <c r="F900" s="64"/>
      <c r="G900" s="83"/>
      <c r="H900" s="84"/>
    </row>
    <row r="901">
      <c r="F901" s="64"/>
      <c r="G901" s="83"/>
      <c r="H901" s="84"/>
    </row>
    <row r="902">
      <c r="F902" s="64"/>
      <c r="G902" s="83"/>
      <c r="H902" s="84"/>
    </row>
    <row r="903">
      <c r="F903" s="64"/>
      <c r="G903" s="83"/>
      <c r="H903" s="84"/>
    </row>
    <row r="904">
      <c r="F904" s="64"/>
      <c r="G904" s="83"/>
      <c r="H904" s="84"/>
    </row>
    <row r="905">
      <c r="F905" s="64"/>
      <c r="G905" s="83"/>
      <c r="H905" s="84"/>
    </row>
    <row r="906">
      <c r="F906" s="64"/>
      <c r="G906" s="83"/>
      <c r="H906" s="84"/>
    </row>
    <row r="907">
      <c r="F907" s="64"/>
      <c r="G907" s="83"/>
      <c r="H907" s="84"/>
    </row>
    <row r="908">
      <c r="F908" s="64"/>
      <c r="G908" s="83"/>
      <c r="H908" s="84"/>
    </row>
    <row r="909">
      <c r="F909" s="64"/>
      <c r="G909" s="83"/>
      <c r="H909" s="84"/>
    </row>
    <row r="910">
      <c r="F910" s="64"/>
      <c r="G910" s="83"/>
      <c r="H910" s="84"/>
    </row>
    <row r="911">
      <c r="F911" s="64"/>
      <c r="G911" s="83"/>
      <c r="H911" s="84"/>
    </row>
    <row r="912">
      <c r="F912" s="64"/>
      <c r="G912" s="83"/>
      <c r="H912" s="84"/>
    </row>
    <row r="913">
      <c r="F913" s="64"/>
      <c r="G913" s="83"/>
      <c r="H913" s="84"/>
    </row>
    <row r="914">
      <c r="F914" s="64"/>
      <c r="G914" s="83"/>
      <c r="H914" s="84"/>
    </row>
    <row r="915">
      <c r="F915" s="64"/>
      <c r="G915" s="83"/>
      <c r="H915" s="84"/>
    </row>
    <row r="916">
      <c r="F916" s="64"/>
      <c r="G916" s="83"/>
      <c r="H916" s="84"/>
    </row>
    <row r="917">
      <c r="F917" s="64"/>
      <c r="G917" s="83"/>
      <c r="H917" s="84"/>
    </row>
    <row r="918">
      <c r="F918" s="64"/>
      <c r="G918" s="83"/>
      <c r="H918" s="84"/>
    </row>
    <row r="919">
      <c r="F919" s="64"/>
      <c r="G919" s="83"/>
      <c r="H919" s="84"/>
    </row>
    <row r="920">
      <c r="F920" s="64"/>
      <c r="G920" s="83"/>
      <c r="H920" s="84"/>
    </row>
    <row r="921">
      <c r="F921" s="64"/>
      <c r="G921" s="83"/>
      <c r="H921" s="84"/>
    </row>
    <row r="922">
      <c r="F922" s="64"/>
      <c r="G922" s="83"/>
      <c r="H922" s="84"/>
    </row>
    <row r="923">
      <c r="F923" s="64"/>
      <c r="G923" s="83"/>
      <c r="H923" s="84"/>
    </row>
    <row r="924">
      <c r="F924" s="64"/>
      <c r="G924" s="83"/>
      <c r="H924" s="84"/>
    </row>
    <row r="925">
      <c r="F925" s="64"/>
      <c r="G925" s="83"/>
      <c r="H925" s="84"/>
    </row>
    <row r="926">
      <c r="F926" s="64"/>
      <c r="G926" s="83"/>
      <c r="H926" s="84"/>
    </row>
    <row r="927">
      <c r="F927" s="64"/>
      <c r="G927" s="83"/>
      <c r="H927" s="84"/>
    </row>
    <row r="928">
      <c r="F928" s="64"/>
      <c r="G928" s="83"/>
      <c r="H928" s="84"/>
    </row>
    <row r="929">
      <c r="F929" s="64"/>
      <c r="G929" s="83"/>
      <c r="H929" s="84"/>
    </row>
    <row r="930">
      <c r="F930" s="64"/>
      <c r="G930" s="83"/>
      <c r="H930" s="84"/>
    </row>
    <row r="931">
      <c r="F931" s="64"/>
      <c r="G931" s="83"/>
      <c r="H931" s="84"/>
    </row>
    <row r="932">
      <c r="F932" s="64"/>
      <c r="G932" s="83"/>
      <c r="H932" s="84"/>
    </row>
    <row r="933">
      <c r="F933" s="64"/>
      <c r="G933" s="83"/>
      <c r="H933" s="84"/>
    </row>
    <row r="934">
      <c r="F934" s="64"/>
      <c r="G934" s="83"/>
      <c r="H934" s="84"/>
    </row>
    <row r="935">
      <c r="F935" s="64"/>
      <c r="G935" s="83"/>
      <c r="H935" s="84"/>
    </row>
    <row r="936">
      <c r="F936" s="64"/>
      <c r="G936" s="83"/>
      <c r="H936" s="84"/>
    </row>
    <row r="937">
      <c r="F937" s="64"/>
      <c r="G937" s="83"/>
      <c r="H937" s="84"/>
    </row>
    <row r="938">
      <c r="F938" s="64"/>
      <c r="G938" s="83"/>
      <c r="H938" s="84"/>
    </row>
    <row r="939">
      <c r="F939" s="64"/>
      <c r="G939" s="83"/>
      <c r="H939" s="84"/>
    </row>
    <row r="940">
      <c r="F940" s="64"/>
      <c r="G940" s="83"/>
      <c r="H940" s="84"/>
    </row>
    <row r="941">
      <c r="F941" s="64"/>
      <c r="G941" s="83"/>
      <c r="H941" s="84"/>
    </row>
    <row r="942">
      <c r="F942" s="64"/>
      <c r="G942" s="83"/>
      <c r="H942" s="84"/>
    </row>
    <row r="943">
      <c r="F943" s="64"/>
      <c r="G943" s="83"/>
      <c r="H943" s="84"/>
    </row>
    <row r="944">
      <c r="F944" s="64"/>
      <c r="G944" s="83"/>
      <c r="H944" s="84"/>
    </row>
    <row r="945">
      <c r="F945" s="64"/>
      <c r="G945" s="83"/>
      <c r="H945" s="84"/>
    </row>
    <row r="946">
      <c r="F946" s="64"/>
      <c r="G946" s="83"/>
      <c r="H946" s="84"/>
    </row>
    <row r="947">
      <c r="F947" s="64"/>
      <c r="G947" s="83"/>
      <c r="H947" s="84"/>
    </row>
    <row r="948">
      <c r="F948" s="64"/>
      <c r="G948" s="83"/>
      <c r="H948" s="84"/>
    </row>
    <row r="949">
      <c r="F949" s="64"/>
      <c r="G949" s="83"/>
      <c r="H949" s="84"/>
    </row>
    <row r="950">
      <c r="F950" s="64"/>
      <c r="G950" s="83"/>
      <c r="H950" s="84"/>
    </row>
    <row r="951">
      <c r="F951" s="64"/>
      <c r="G951" s="83"/>
      <c r="H951" s="84"/>
    </row>
    <row r="952">
      <c r="F952" s="64"/>
      <c r="G952" s="83"/>
      <c r="H952" s="84"/>
    </row>
    <row r="953">
      <c r="F953" s="64"/>
      <c r="G953" s="83"/>
      <c r="H953" s="84"/>
    </row>
    <row r="954">
      <c r="F954" s="64"/>
      <c r="G954" s="83"/>
      <c r="H954" s="84"/>
    </row>
    <row r="955">
      <c r="F955" s="64"/>
      <c r="G955" s="83"/>
      <c r="H955" s="84"/>
    </row>
    <row r="956">
      <c r="F956" s="64"/>
      <c r="G956" s="83"/>
      <c r="H956" s="84"/>
    </row>
    <row r="957">
      <c r="F957" s="64"/>
      <c r="G957" s="83"/>
      <c r="H957" s="84"/>
    </row>
    <row r="958">
      <c r="F958" s="64"/>
      <c r="G958" s="83"/>
      <c r="H958" s="84"/>
    </row>
    <row r="959">
      <c r="F959" s="64"/>
      <c r="G959" s="83"/>
      <c r="H959" s="84"/>
    </row>
    <row r="960">
      <c r="F960" s="64"/>
      <c r="G960" s="83"/>
      <c r="H960" s="84"/>
    </row>
    <row r="961">
      <c r="F961" s="64"/>
      <c r="G961" s="83"/>
      <c r="H961" s="84"/>
    </row>
    <row r="962">
      <c r="F962" s="64"/>
      <c r="G962" s="83"/>
      <c r="H962" s="84"/>
    </row>
    <row r="963">
      <c r="F963" s="64"/>
      <c r="G963" s="83"/>
      <c r="H963" s="84"/>
    </row>
    <row r="964">
      <c r="F964" s="64"/>
      <c r="G964" s="83"/>
      <c r="H964" s="84"/>
    </row>
    <row r="965">
      <c r="F965" s="64"/>
      <c r="G965" s="83"/>
      <c r="H965" s="84"/>
    </row>
    <row r="966">
      <c r="F966" s="64"/>
      <c r="G966" s="83"/>
      <c r="H966" s="84"/>
    </row>
    <row r="967">
      <c r="F967" s="64"/>
      <c r="G967" s="83"/>
      <c r="H967" s="84"/>
    </row>
    <row r="968">
      <c r="F968" s="64"/>
      <c r="G968" s="83"/>
      <c r="H968" s="84"/>
    </row>
    <row r="969">
      <c r="F969" s="64"/>
      <c r="G969" s="83"/>
      <c r="H969" s="84"/>
    </row>
    <row r="970">
      <c r="F970" s="64"/>
      <c r="G970" s="83"/>
      <c r="H970" s="84"/>
    </row>
    <row r="971">
      <c r="F971" s="64"/>
      <c r="G971" s="83"/>
      <c r="H971" s="84"/>
    </row>
    <row r="972">
      <c r="F972" s="64"/>
      <c r="G972" s="83"/>
      <c r="H972" s="84"/>
    </row>
    <row r="973">
      <c r="F973" s="64"/>
      <c r="G973" s="83"/>
      <c r="H973" s="84"/>
    </row>
    <row r="974">
      <c r="F974" s="64"/>
      <c r="G974" s="83"/>
      <c r="H974" s="84"/>
    </row>
    <row r="975">
      <c r="F975" s="64"/>
      <c r="G975" s="83"/>
      <c r="H975" s="84"/>
    </row>
    <row r="976">
      <c r="F976" s="64"/>
      <c r="G976" s="83"/>
      <c r="H976" s="84"/>
    </row>
    <row r="977">
      <c r="F977" s="64"/>
      <c r="G977" s="83"/>
      <c r="H977" s="84"/>
    </row>
    <row r="978">
      <c r="F978" s="64"/>
      <c r="G978" s="83"/>
      <c r="H978" s="84"/>
    </row>
    <row r="979">
      <c r="F979" s="64"/>
      <c r="G979" s="83"/>
      <c r="H979" s="84"/>
    </row>
    <row r="980">
      <c r="F980" s="64"/>
      <c r="G980" s="83"/>
      <c r="H980" s="84"/>
    </row>
    <row r="981">
      <c r="F981" s="64"/>
      <c r="G981" s="83"/>
      <c r="H981" s="84"/>
    </row>
    <row r="982">
      <c r="F982" s="64"/>
      <c r="G982" s="83"/>
      <c r="H982" s="84"/>
    </row>
    <row r="983">
      <c r="F983" s="64"/>
      <c r="G983" s="83"/>
      <c r="H983" s="84"/>
    </row>
    <row r="984">
      <c r="F984" s="64"/>
      <c r="G984" s="83"/>
      <c r="H984" s="84"/>
    </row>
    <row r="985">
      <c r="F985" s="64"/>
      <c r="G985" s="83"/>
      <c r="H985" s="84"/>
    </row>
    <row r="986">
      <c r="F986" s="64"/>
      <c r="G986" s="83"/>
      <c r="H986" s="84"/>
    </row>
    <row r="987">
      <c r="F987" s="64"/>
      <c r="G987" s="83"/>
      <c r="H987" s="84"/>
    </row>
    <row r="988">
      <c r="F988" s="64"/>
      <c r="G988" s="83"/>
      <c r="H988" s="84"/>
    </row>
    <row r="989">
      <c r="F989" s="64"/>
      <c r="G989" s="83"/>
      <c r="H989" s="84"/>
    </row>
    <row r="990">
      <c r="F990" s="64"/>
      <c r="G990" s="83"/>
      <c r="H990" s="84"/>
    </row>
    <row r="991">
      <c r="F991" s="64"/>
      <c r="G991" s="83"/>
      <c r="H991" s="84"/>
    </row>
    <row r="992">
      <c r="F992" s="64"/>
      <c r="G992" s="83"/>
      <c r="H992" s="84"/>
    </row>
    <row r="993">
      <c r="F993" s="64"/>
      <c r="G993" s="83"/>
      <c r="H993" s="84"/>
    </row>
    <row r="994">
      <c r="F994" s="64"/>
      <c r="G994" s="83"/>
      <c r="H994" s="84"/>
    </row>
    <row r="995">
      <c r="F995" s="64"/>
      <c r="G995" s="83"/>
      <c r="H995" s="84"/>
    </row>
    <row r="996">
      <c r="F996" s="64"/>
      <c r="G996" s="83"/>
      <c r="H996" s="84"/>
    </row>
    <row r="997">
      <c r="F997" s="64"/>
      <c r="G997" s="83"/>
      <c r="H997" s="84"/>
    </row>
    <row r="998">
      <c r="F998" s="64"/>
      <c r="G998" s="83"/>
      <c r="H998" s="84"/>
    </row>
    <row r="999">
      <c r="F999" s="64"/>
      <c r="H999" s="84"/>
    </row>
    <row r="1000">
      <c r="F1000" s="64"/>
      <c r="H1000" s="84"/>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I2:I51">
      <formula1>$A$2:$A$10</formula1>
    </dataValidation>
    <dataValidation type="list" allowBlank="1" sqref="A20:A42">
      <formula1>$A$14:$A$17</formula1>
    </dataValidation>
  </dataValidations>
  <hyperlinks>
    <hyperlink display="Back to summary" location="Summary (micro)!A1" ref="B1"/>
    <hyperlink r:id="rId1" ref="B1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2</v>
      </c>
      <c r="D2" s="62">
        <f t="shared" ref="D2:D6" si="2">C2/COUNTA(I$2:I1000)</f>
        <v>0.06896551724</v>
      </c>
      <c r="E2" s="87">
        <v>1.61807057E9</v>
      </c>
      <c r="F2" s="64">
        <f>IFERROR(__xludf.DUMMYFUNCTION("INDEX(SPLIT(E2, char(10)), 0, 1)/86400+date(1970,1,1)"),44296.66863425926)</f>
        <v>44296.66863</v>
      </c>
      <c r="G2" s="84" t="s">
        <v>1485</v>
      </c>
      <c r="H2" s="84" t="s">
        <v>1486</v>
      </c>
      <c r="I2" s="39" t="s">
        <v>16</v>
      </c>
      <c r="J2" s="39"/>
    </row>
    <row r="3">
      <c r="A3" s="39" t="s">
        <v>14</v>
      </c>
      <c r="B3" s="39" t="s">
        <v>101</v>
      </c>
      <c r="C3" s="39">
        <f t="shared" si="1"/>
        <v>2</v>
      </c>
      <c r="D3" s="62">
        <f t="shared" si="2"/>
        <v>0.06896551724</v>
      </c>
      <c r="E3" s="87">
        <v>1.618070897E9</v>
      </c>
      <c r="F3" s="64">
        <f>IFERROR(__xludf.DUMMYFUNCTION("INDEX(SPLIT(E3, char(10)), 0, 1)/86400+date(1970,1,1)"),44296.672418981485)</f>
        <v>44296.67242</v>
      </c>
      <c r="G3" s="84" t="s">
        <v>1487</v>
      </c>
      <c r="H3" s="84" t="s">
        <v>1488</v>
      </c>
      <c r="I3" s="39" t="s">
        <v>17</v>
      </c>
      <c r="J3" s="39"/>
    </row>
    <row r="4">
      <c r="A4" s="39" t="s">
        <v>15</v>
      </c>
      <c r="B4" s="39" t="s">
        <v>104</v>
      </c>
      <c r="C4" s="39">
        <f t="shared" si="1"/>
        <v>4</v>
      </c>
      <c r="D4" s="62">
        <f t="shared" si="2"/>
        <v>0.1379310345</v>
      </c>
      <c r="E4" s="87">
        <v>1.618071008E9</v>
      </c>
      <c r="F4" s="64">
        <f>IFERROR(__xludf.DUMMYFUNCTION("INDEX(SPLIT(E4, char(10)), 0, 1)/86400+date(1970,1,1)"),44296.6737037037)</f>
        <v>44296.6737</v>
      </c>
      <c r="G4" s="84" t="s">
        <v>1489</v>
      </c>
      <c r="H4" s="84" t="s">
        <v>1490</v>
      </c>
      <c r="I4" s="39" t="s">
        <v>16</v>
      </c>
      <c r="J4" s="39"/>
    </row>
    <row r="5">
      <c r="A5" s="39" t="s">
        <v>16</v>
      </c>
      <c r="B5" s="39" t="s">
        <v>107</v>
      </c>
      <c r="C5" s="39">
        <f t="shared" si="1"/>
        <v>14</v>
      </c>
      <c r="D5" s="62">
        <f t="shared" si="2"/>
        <v>0.4827586207</v>
      </c>
      <c r="E5" s="87">
        <v>1.618071249E9</v>
      </c>
      <c r="F5" s="64">
        <f>IFERROR(__xludf.DUMMYFUNCTION("INDEX(SPLIT(E5, char(10)), 0, 1)/86400+date(1970,1,1)"),44296.67649305555)</f>
        <v>44296.67649</v>
      </c>
      <c r="G5" s="84" t="s">
        <v>1491</v>
      </c>
      <c r="H5" s="84" t="s">
        <v>1492</v>
      </c>
      <c r="I5" s="39" t="s">
        <v>17</v>
      </c>
      <c r="J5" s="39"/>
    </row>
    <row r="6">
      <c r="A6" s="39" t="s">
        <v>17</v>
      </c>
      <c r="B6" s="39" t="s">
        <v>110</v>
      </c>
      <c r="C6" s="39">
        <f t="shared" si="1"/>
        <v>7</v>
      </c>
      <c r="D6" s="62">
        <f t="shared" si="2"/>
        <v>0.2413793103</v>
      </c>
      <c r="E6" s="87">
        <v>1.618071705E9</v>
      </c>
      <c r="F6" s="64">
        <f>IFERROR(__xludf.DUMMYFUNCTION("INDEX(SPLIT(E6, char(10)), 0, 1)/86400+date(1970,1,1)"),44296.68177083333)</f>
        <v>44296.68177</v>
      </c>
      <c r="G6" s="84" t="s">
        <v>1493</v>
      </c>
      <c r="H6" s="84" t="s">
        <v>1494</v>
      </c>
      <c r="I6" s="39" t="s">
        <v>17</v>
      </c>
    </row>
    <row r="7">
      <c r="B7" s="39" t="s">
        <v>13</v>
      </c>
      <c r="C7" s="67">
        <f t="shared" ref="C7:D7" si="3">SUM(C2:C6)</f>
        <v>29</v>
      </c>
      <c r="D7" s="68">
        <f t="shared" si="3"/>
        <v>1</v>
      </c>
      <c r="E7" s="87">
        <v>1.618071876E9</v>
      </c>
      <c r="F7" s="64">
        <f>IFERROR(__xludf.DUMMYFUNCTION("INDEX(SPLIT(E7, char(10)), 0, 1)/86400+date(1970,1,1)"),44296.68375)</f>
        <v>44296.68375</v>
      </c>
      <c r="G7" s="84" t="s">
        <v>1495</v>
      </c>
      <c r="H7" s="84" t="s">
        <v>1496</v>
      </c>
      <c r="I7" s="39" t="s">
        <v>75</v>
      </c>
    </row>
    <row r="8">
      <c r="A8" s="69"/>
      <c r="B8" s="39" t="s">
        <v>18</v>
      </c>
      <c r="C8" s="55">
        <f t="shared" ref="C8:D8" si="4">SUM(C5:C6)</f>
        <v>21</v>
      </c>
      <c r="D8" s="13">
        <f t="shared" si="4"/>
        <v>0.724137931</v>
      </c>
      <c r="E8" s="87">
        <v>1.618072019E9</v>
      </c>
      <c r="F8" s="64">
        <f>IFERROR(__xludf.DUMMYFUNCTION("INDEX(SPLIT(E8, char(10)), 0, 1)/86400+date(1970,1,1)"),44296.68540509259)</f>
        <v>44296.68541</v>
      </c>
      <c r="G8" s="84" t="s">
        <v>1497</v>
      </c>
      <c r="H8" s="84" t="s">
        <v>1498</v>
      </c>
      <c r="I8" s="39" t="s">
        <v>15</v>
      </c>
    </row>
    <row r="9">
      <c r="A9" s="69"/>
      <c r="B9" s="39" t="s">
        <v>47</v>
      </c>
      <c r="C9" s="55">
        <f>SUM(C6:C7)</f>
        <v>36</v>
      </c>
      <c r="D9" s="13">
        <f>SUM(D5:D6) + D2</f>
        <v>0.7931034483</v>
      </c>
      <c r="E9" s="87">
        <v>1.618073131E9</v>
      </c>
      <c r="F9" s="64">
        <f>IFERROR(__xludf.DUMMYFUNCTION("INDEX(SPLIT(E9, char(10)), 0, 1)/86400+date(1970,1,1)"),44296.698275462964)</f>
        <v>44296.69828</v>
      </c>
      <c r="G9" s="84" t="s">
        <v>1499</v>
      </c>
      <c r="H9" s="84" t="s">
        <v>1500</v>
      </c>
      <c r="I9" s="39" t="s">
        <v>16</v>
      </c>
    </row>
    <row r="10">
      <c r="A10" s="69"/>
      <c r="B10" s="69"/>
      <c r="C10" s="69"/>
      <c r="D10" s="69"/>
      <c r="E10" s="87">
        <v>1.618073236E9</v>
      </c>
      <c r="F10" s="64">
        <f>IFERROR(__xludf.DUMMYFUNCTION("INDEX(SPLIT(E10, char(10)), 0, 1)/86400+date(1970,1,1)"),44296.69949074074)</f>
        <v>44296.69949</v>
      </c>
      <c r="G10" s="84" t="s">
        <v>1501</v>
      </c>
      <c r="H10" s="84" t="s">
        <v>1502</v>
      </c>
      <c r="I10" s="39" t="s">
        <v>16</v>
      </c>
    </row>
    <row r="11">
      <c r="A11" s="69"/>
      <c r="B11" s="69"/>
      <c r="C11" s="69"/>
      <c r="D11" s="69"/>
      <c r="E11" s="87">
        <v>1.618073344E9</v>
      </c>
      <c r="F11" s="64">
        <f>IFERROR(__xludf.DUMMYFUNCTION("INDEX(SPLIT(E11, char(10)), 0, 1)/86400+date(1970,1,1)"),44296.70074074074)</f>
        <v>44296.70074</v>
      </c>
      <c r="G11" s="84" t="s">
        <v>1503</v>
      </c>
      <c r="H11" s="84" t="s">
        <v>1504</v>
      </c>
      <c r="I11" s="39" t="s">
        <v>17</v>
      </c>
    </row>
    <row r="12">
      <c r="A12" s="70" t="s">
        <v>123</v>
      </c>
      <c r="B12" s="88" t="s">
        <v>1505</v>
      </c>
      <c r="C12" s="69"/>
      <c r="D12" s="72"/>
      <c r="E12" s="87">
        <v>1.618073502E9</v>
      </c>
      <c r="F12" s="64">
        <f>IFERROR(__xludf.DUMMYFUNCTION("INDEX(SPLIT(E12, char(10)), 0, 1)/86400+date(1970,1,1)"),44296.702569444446)</f>
        <v>44296.70257</v>
      </c>
      <c r="G12" s="84" t="s">
        <v>1506</v>
      </c>
      <c r="H12" s="84" t="s">
        <v>1507</v>
      </c>
      <c r="I12" s="39" t="s">
        <v>17</v>
      </c>
    </row>
    <row r="13">
      <c r="A13" s="70" t="s">
        <v>127</v>
      </c>
      <c r="B13" s="72"/>
      <c r="C13" s="70" t="s">
        <v>91</v>
      </c>
      <c r="D13" s="70" t="s">
        <v>92</v>
      </c>
      <c r="E13" s="87">
        <v>1.618073739E9</v>
      </c>
      <c r="F13" s="64">
        <f>IFERROR(__xludf.DUMMYFUNCTION("INDEX(SPLIT(E13, char(10)), 0, 1)/86400+date(1970,1,1)"),44296.705312499995)</f>
        <v>44296.70531</v>
      </c>
      <c r="G13" s="84" t="s">
        <v>1508</v>
      </c>
      <c r="H13" s="84" t="s">
        <v>1509</v>
      </c>
      <c r="I13" s="39" t="s">
        <v>15</v>
      </c>
    </row>
    <row r="14">
      <c r="A14" s="5" t="s">
        <v>130</v>
      </c>
      <c r="B14" s="5" t="s">
        <v>131</v>
      </c>
      <c r="C14" s="73">
        <f t="shared" ref="C14:C17" si="5">COUNTIF($A$19:$A1000, A14)</f>
        <v>4</v>
      </c>
      <c r="D14" s="74">
        <f>IFERROR(__xludf.DUMMYFUNCTION("IF(C14, COUNTIF(FILTER($D$19:$D1000, $A$19:$A1000=A14), TRUE)/C14, 0)"),1.0)</f>
        <v>1</v>
      </c>
      <c r="E14" s="87">
        <v>1.618074293E9</v>
      </c>
      <c r="F14" s="64">
        <f>IFERROR(__xludf.DUMMYFUNCTION("INDEX(SPLIT(E14, char(10)), 0, 1)/86400+date(1970,1,1)"),44296.71172453703)</f>
        <v>44296.71172</v>
      </c>
      <c r="G14" s="84" t="s">
        <v>329</v>
      </c>
      <c r="H14" s="84" t="s">
        <v>1510</v>
      </c>
      <c r="I14" s="39" t="s">
        <v>16</v>
      </c>
    </row>
    <row r="15">
      <c r="A15" s="5" t="s">
        <v>6</v>
      </c>
      <c r="B15" s="5" t="s">
        <v>134</v>
      </c>
      <c r="C15" s="73">
        <f t="shared" si="5"/>
        <v>9</v>
      </c>
      <c r="D15" s="74">
        <f>IFERROR(__xludf.DUMMYFUNCTION("IF(C15, COUNTIF(FILTER($D$19:$D1000, $A$19:$A1000=A15), TRUE)/C15, 0)"),0.4444444444444444)</f>
        <v>0.4444444444</v>
      </c>
      <c r="E15" s="87">
        <v>1.618074495E9</v>
      </c>
      <c r="F15" s="64">
        <f>IFERROR(__xludf.DUMMYFUNCTION("INDEX(SPLIT(E15, char(10)), 0, 1)/86400+date(1970,1,1)"),44296.7140625)</f>
        <v>44296.71406</v>
      </c>
      <c r="G15" s="84" t="s">
        <v>1511</v>
      </c>
      <c r="H15" s="84" t="s">
        <v>1512</v>
      </c>
      <c r="I15" s="39" t="s">
        <v>15</v>
      </c>
    </row>
    <row r="16">
      <c r="A16" s="5" t="s">
        <v>7</v>
      </c>
      <c r="B16" s="5" t="s">
        <v>137</v>
      </c>
      <c r="C16" s="73">
        <f t="shared" si="5"/>
        <v>4</v>
      </c>
      <c r="D16" s="74">
        <f>IFERROR(__xludf.DUMMYFUNCTION("IF(C16, COUNTIF(FILTER($D$19:$D1000, $A$19:$A1000=A16), TRUE)/C16, 0)"),1.0)</f>
        <v>1</v>
      </c>
      <c r="E16" s="87">
        <v>1.618074636E9</v>
      </c>
      <c r="F16" s="64">
        <f>IFERROR(__xludf.DUMMYFUNCTION("INDEX(SPLIT(E16, char(10)), 0, 1)/86400+date(1970,1,1)"),44296.71569444444)</f>
        <v>44296.71569</v>
      </c>
      <c r="G16" s="84" t="s">
        <v>1513</v>
      </c>
      <c r="H16" s="84" t="s">
        <v>1514</v>
      </c>
      <c r="I16" s="39" t="s">
        <v>17</v>
      </c>
    </row>
    <row r="17">
      <c r="A17" s="5" t="s">
        <v>8</v>
      </c>
      <c r="B17" s="5" t="s">
        <v>79</v>
      </c>
      <c r="C17" s="73">
        <f t="shared" si="5"/>
        <v>9</v>
      </c>
      <c r="D17" s="74">
        <f>IFERROR(__xludf.DUMMYFUNCTION("IF(C17, COUNTIF(FILTER($D$19:$D1000, $A$19:$A1000=A17), TRUE)/C17, 0)"),0.3333333333333333)</f>
        <v>0.3333333333</v>
      </c>
      <c r="E17" s="87">
        <v>1.618075217E9</v>
      </c>
      <c r="F17" s="64">
        <f>IFERROR(__xludf.DUMMYFUNCTION("INDEX(SPLIT(E17, char(10)), 0, 1)/86400+date(1970,1,1)"),44296.72241898148)</f>
        <v>44296.72242</v>
      </c>
      <c r="G17" s="84" t="s">
        <v>1515</v>
      </c>
      <c r="H17" s="84" t="s">
        <v>1516</v>
      </c>
      <c r="I17" s="39" t="s">
        <v>16</v>
      </c>
    </row>
    <row r="18">
      <c r="A18" s="72"/>
      <c r="B18" s="70" t="s">
        <v>9</v>
      </c>
      <c r="C18" s="73">
        <f>SUM(C14:C17)</f>
        <v>26</v>
      </c>
      <c r="D18" s="74">
        <f>COUNTIF($D$19:$D1000, TRUE)/SUM($C$14:$C$17)</f>
        <v>0.5769230769</v>
      </c>
      <c r="E18" s="87">
        <v>1.618075585E9</v>
      </c>
      <c r="F18" s="64">
        <f>IFERROR(__xludf.DUMMYFUNCTION("INDEX(SPLIT(E18, char(10)), 0, 1)/86400+date(1970,1,1)"),44296.72667824074)</f>
        <v>44296.72668</v>
      </c>
      <c r="G18" s="84" t="s">
        <v>1517</v>
      </c>
      <c r="H18" s="84" t="s">
        <v>1518</v>
      </c>
      <c r="I18" s="39" t="s">
        <v>16</v>
      </c>
    </row>
    <row r="19">
      <c r="A19" s="70" t="s">
        <v>97</v>
      </c>
      <c r="B19" s="70" t="s">
        <v>144</v>
      </c>
      <c r="C19" s="70" t="s">
        <v>145</v>
      </c>
      <c r="D19" s="70" t="s">
        <v>146</v>
      </c>
      <c r="E19" s="87">
        <v>1.618075729E9</v>
      </c>
      <c r="F19" s="64">
        <f>IFERROR(__xludf.DUMMYFUNCTION("INDEX(SPLIT(E19, char(10)), 0, 1)/86400+date(1970,1,1)"),44296.7283449074)</f>
        <v>44296.72834</v>
      </c>
      <c r="G19" s="84" t="s">
        <v>1519</v>
      </c>
      <c r="H19" s="84" t="s">
        <v>1520</v>
      </c>
      <c r="I19" s="39" t="s">
        <v>75</v>
      </c>
    </row>
    <row r="20">
      <c r="A20" s="75" t="s">
        <v>7</v>
      </c>
      <c r="B20" s="75" t="s">
        <v>149</v>
      </c>
      <c r="C20" s="76">
        <v>1.0</v>
      </c>
      <c r="D20" s="78" t="b">
        <v>1</v>
      </c>
      <c r="E20" s="87">
        <v>1.618075904E9</v>
      </c>
      <c r="F20" s="64">
        <f>IFERROR(__xludf.DUMMYFUNCTION("INDEX(SPLIT(E20, char(10)), 0, 1)/86400+date(1970,1,1)"),44296.730370370366)</f>
        <v>44296.73037</v>
      </c>
      <c r="G20" s="84" t="s">
        <v>1521</v>
      </c>
      <c r="H20" s="84" t="s">
        <v>1522</v>
      </c>
      <c r="I20" s="39" t="s">
        <v>16</v>
      </c>
    </row>
    <row r="21">
      <c r="A21" s="66" t="s">
        <v>130</v>
      </c>
      <c r="B21" s="39" t="s">
        <v>1523</v>
      </c>
      <c r="C21" s="39">
        <v>8.0</v>
      </c>
      <c r="D21" s="78" t="b">
        <v>1</v>
      </c>
      <c r="E21" s="87">
        <v>1.61807615E9</v>
      </c>
      <c r="F21" s="64">
        <f>IFERROR(__xludf.DUMMYFUNCTION("INDEX(SPLIT(E21, char(10)), 0, 1)/86400+date(1970,1,1)"),44296.73321759259)</f>
        <v>44296.73322</v>
      </c>
      <c r="G21" s="84" t="s">
        <v>1524</v>
      </c>
      <c r="H21" s="84" t="s">
        <v>1525</v>
      </c>
      <c r="I21" s="39" t="s">
        <v>14</v>
      </c>
    </row>
    <row r="22">
      <c r="A22" s="66" t="s">
        <v>6</v>
      </c>
      <c r="B22" s="66" t="s">
        <v>1526</v>
      </c>
      <c r="C22" s="92">
        <v>10.0</v>
      </c>
      <c r="D22" s="78" t="b">
        <v>0</v>
      </c>
      <c r="E22" s="87">
        <v>1.618076274E9</v>
      </c>
      <c r="F22" s="64">
        <f>IFERROR(__xludf.DUMMYFUNCTION("INDEX(SPLIT(E22, char(10)), 0, 1)/86400+date(1970,1,1)"),44296.73465277778)</f>
        <v>44296.73465</v>
      </c>
      <c r="G22" s="84" t="s">
        <v>1527</v>
      </c>
      <c r="H22" s="84" t="s">
        <v>1528</v>
      </c>
      <c r="I22" s="39" t="s">
        <v>16</v>
      </c>
    </row>
    <row r="23">
      <c r="A23" s="66" t="s">
        <v>6</v>
      </c>
      <c r="B23" s="66" t="s">
        <v>1529</v>
      </c>
      <c r="C23" s="92">
        <v>24.0</v>
      </c>
      <c r="D23" s="78" t="b">
        <v>0</v>
      </c>
      <c r="E23" s="87">
        <v>1.618076383E9</v>
      </c>
      <c r="F23" s="64">
        <f>IFERROR(__xludf.DUMMYFUNCTION("INDEX(SPLIT(E23, char(10)), 0, 1)/86400+date(1970,1,1)"),44296.735914351855)</f>
        <v>44296.73591</v>
      </c>
      <c r="G23" s="84" t="s">
        <v>1530</v>
      </c>
      <c r="H23" s="84" t="s">
        <v>1531</v>
      </c>
      <c r="I23" s="39" t="s">
        <v>16</v>
      </c>
    </row>
    <row r="24">
      <c r="A24" s="66" t="s">
        <v>6</v>
      </c>
      <c r="B24" s="66" t="s">
        <v>1532</v>
      </c>
      <c r="C24" s="92">
        <v>37.0</v>
      </c>
      <c r="D24" s="78" t="b">
        <v>0</v>
      </c>
      <c r="E24" s="87">
        <v>1.618076477E9</v>
      </c>
      <c r="F24" s="64">
        <f>IFERROR(__xludf.DUMMYFUNCTION("INDEX(SPLIT(E24, char(10)), 0, 1)/86400+date(1970,1,1)"),44296.73700231481)</f>
        <v>44296.737</v>
      </c>
      <c r="G24" s="84" t="s">
        <v>1533</v>
      </c>
      <c r="H24" s="84" t="s">
        <v>1534</v>
      </c>
      <c r="I24" s="39" t="s">
        <v>17</v>
      </c>
    </row>
    <row r="25">
      <c r="A25" s="66" t="s">
        <v>6</v>
      </c>
      <c r="B25" s="39" t="s">
        <v>1535</v>
      </c>
      <c r="C25" s="39">
        <v>38.0</v>
      </c>
      <c r="D25" s="78" t="b">
        <v>0</v>
      </c>
      <c r="E25" s="87">
        <v>1.618076662E9</v>
      </c>
      <c r="F25" s="64">
        <f>IFERROR(__xludf.DUMMYFUNCTION("INDEX(SPLIT(E25, char(10)), 0, 1)/86400+date(1970,1,1)"),44296.73914351852)</f>
        <v>44296.73914</v>
      </c>
      <c r="G25" s="84" t="s">
        <v>1536</v>
      </c>
      <c r="H25" s="84" t="s">
        <v>1537</v>
      </c>
      <c r="I25" s="39" t="s">
        <v>14</v>
      </c>
    </row>
    <row r="26">
      <c r="A26" s="66" t="s">
        <v>130</v>
      </c>
      <c r="B26" s="39" t="s">
        <v>1538</v>
      </c>
      <c r="C26" s="39">
        <v>44.0</v>
      </c>
      <c r="D26" s="78" t="b">
        <v>1</v>
      </c>
      <c r="E26" s="87">
        <v>1.618076826E9</v>
      </c>
      <c r="F26" s="64">
        <f>IFERROR(__xludf.DUMMYFUNCTION("INDEX(SPLIT(E26, char(10)), 0, 1)/86400+date(1970,1,1)"),44296.74104166667)</f>
        <v>44296.74104</v>
      </c>
      <c r="G26" s="84" t="s">
        <v>1539</v>
      </c>
      <c r="H26" s="84" t="s">
        <v>1540</v>
      </c>
      <c r="I26" s="39" t="s">
        <v>16</v>
      </c>
    </row>
    <row r="27">
      <c r="A27" s="5" t="s">
        <v>7</v>
      </c>
      <c r="B27" s="5" t="s">
        <v>155</v>
      </c>
      <c r="C27" s="76">
        <v>45.0</v>
      </c>
      <c r="D27" s="78" t="b">
        <v>1</v>
      </c>
      <c r="E27" s="87">
        <v>1.618077041E9</v>
      </c>
      <c r="F27" s="64">
        <f>IFERROR(__xludf.DUMMYFUNCTION("INDEX(SPLIT(E27, char(10)), 0, 1)/86400+date(1970,1,1)"),44296.74353009259)</f>
        <v>44296.74353</v>
      </c>
      <c r="G27" s="84" t="s">
        <v>1541</v>
      </c>
      <c r="H27" s="84" t="s">
        <v>1542</v>
      </c>
      <c r="I27" s="39" t="s">
        <v>16</v>
      </c>
    </row>
    <row r="28">
      <c r="A28" s="75" t="s">
        <v>7</v>
      </c>
      <c r="B28" s="72" t="s">
        <v>158</v>
      </c>
      <c r="C28" s="76">
        <v>46.0</v>
      </c>
      <c r="D28" s="78" t="b">
        <v>1</v>
      </c>
      <c r="E28" s="87">
        <v>1.618077177E9</v>
      </c>
      <c r="F28" s="64">
        <f>IFERROR(__xludf.DUMMYFUNCTION("INDEX(SPLIT(E28, char(10)), 0, 1)/86400+date(1970,1,1)"),44296.745104166665)</f>
        <v>44296.7451</v>
      </c>
      <c r="G28" s="84" t="s">
        <v>1543</v>
      </c>
      <c r="H28" s="84" t="s">
        <v>1544</v>
      </c>
      <c r="I28" s="39" t="s">
        <v>15</v>
      </c>
    </row>
    <row r="29">
      <c r="A29" s="66" t="s">
        <v>8</v>
      </c>
      <c r="B29" s="39" t="s">
        <v>1545</v>
      </c>
      <c r="C29" s="39">
        <v>46.0</v>
      </c>
      <c r="D29" s="78" t="b">
        <v>0</v>
      </c>
      <c r="E29" s="87">
        <v>1.618077305E9</v>
      </c>
      <c r="F29" s="64">
        <f>IFERROR(__xludf.DUMMYFUNCTION("INDEX(SPLIT(E29, char(10)), 0, 1)/86400+date(1970,1,1)"),44296.74658564814)</f>
        <v>44296.74659</v>
      </c>
      <c r="G29" s="84" t="s">
        <v>1546</v>
      </c>
      <c r="H29" s="84" t="s">
        <v>1547</v>
      </c>
      <c r="I29" s="39" t="s">
        <v>16</v>
      </c>
    </row>
    <row r="30">
      <c r="A30" s="75" t="s">
        <v>6</v>
      </c>
      <c r="B30" s="66" t="s">
        <v>1548</v>
      </c>
      <c r="C30" s="92">
        <v>60.0</v>
      </c>
      <c r="D30" s="78" t="b">
        <v>1</v>
      </c>
      <c r="E30" s="87">
        <v>1.618077415E9</v>
      </c>
      <c r="F30" s="64">
        <f>IFERROR(__xludf.DUMMYFUNCTION("INDEX(SPLIT(E30, char(10)), 0, 1)/86400+date(1970,1,1)"),44296.7478587963)</f>
        <v>44296.74786</v>
      </c>
      <c r="G30" s="84" t="s">
        <v>1549</v>
      </c>
      <c r="H30" s="84" t="s">
        <v>1550</v>
      </c>
      <c r="I30" s="39" t="s">
        <v>16</v>
      </c>
    </row>
    <row r="31">
      <c r="A31" s="66" t="s">
        <v>8</v>
      </c>
      <c r="B31" s="39" t="s">
        <v>1551</v>
      </c>
      <c r="C31" s="39">
        <v>61.0</v>
      </c>
      <c r="D31" s="78" t="b">
        <v>0</v>
      </c>
      <c r="F31" s="64"/>
      <c r="G31" s="84"/>
      <c r="H31" s="84"/>
      <c r="I31" s="40"/>
    </row>
    <row r="32">
      <c r="A32" s="66" t="s">
        <v>6</v>
      </c>
      <c r="B32" s="66" t="s">
        <v>1552</v>
      </c>
      <c r="C32" s="92">
        <v>63.0</v>
      </c>
      <c r="D32" s="78" t="b">
        <v>0</v>
      </c>
      <c r="F32" s="64"/>
      <c r="G32" s="84"/>
      <c r="H32" s="84"/>
      <c r="I32" s="40"/>
    </row>
    <row r="33">
      <c r="A33" s="75" t="s">
        <v>130</v>
      </c>
      <c r="B33" s="66" t="s">
        <v>1535</v>
      </c>
      <c r="C33" s="76">
        <v>66.0</v>
      </c>
      <c r="D33" s="78" t="b">
        <v>1</v>
      </c>
      <c r="F33" s="64"/>
      <c r="G33" s="84"/>
      <c r="H33" s="84"/>
      <c r="I33" s="40"/>
    </row>
    <row r="34">
      <c r="A34" s="66" t="s">
        <v>8</v>
      </c>
      <c r="B34" s="39" t="s">
        <v>1553</v>
      </c>
      <c r="C34" s="39">
        <v>72.0</v>
      </c>
      <c r="D34" s="78" t="b">
        <v>1</v>
      </c>
      <c r="F34" s="64"/>
      <c r="G34" s="84"/>
      <c r="H34" s="84"/>
      <c r="I34" s="40"/>
    </row>
    <row r="35">
      <c r="A35" s="66" t="s">
        <v>8</v>
      </c>
      <c r="B35" s="39" t="s">
        <v>1554</v>
      </c>
      <c r="C35" s="39">
        <v>72.0</v>
      </c>
      <c r="D35" s="78" t="b">
        <v>1</v>
      </c>
      <c r="F35" s="64"/>
      <c r="G35" s="84"/>
      <c r="H35" s="84"/>
      <c r="I35" s="40"/>
    </row>
    <row r="36">
      <c r="A36" s="66" t="s">
        <v>8</v>
      </c>
      <c r="B36" s="39" t="s">
        <v>1555</v>
      </c>
      <c r="C36" s="39">
        <v>74.0</v>
      </c>
      <c r="D36" s="78" t="b">
        <v>0</v>
      </c>
      <c r="F36" s="64"/>
      <c r="G36" s="84"/>
      <c r="H36" s="84"/>
      <c r="I36" s="40"/>
    </row>
    <row r="37">
      <c r="A37" s="66" t="s">
        <v>8</v>
      </c>
      <c r="B37" s="39" t="s">
        <v>1556</v>
      </c>
      <c r="C37" s="39">
        <v>77.0</v>
      </c>
      <c r="D37" s="78" t="b">
        <v>0</v>
      </c>
      <c r="F37" s="64"/>
      <c r="G37" s="84"/>
      <c r="H37" s="84"/>
      <c r="I37" s="40"/>
    </row>
    <row r="38">
      <c r="A38" s="66" t="s">
        <v>6</v>
      </c>
      <c r="B38" s="66" t="s">
        <v>1557</v>
      </c>
      <c r="C38" s="92">
        <v>78.0</v>
      </c>
      <c r="D38" s="78" t="b">
        <v>1</v>
      </c>
      <c r="F38" s="64"/>
      <c r="G38" s="84"/>
      <c r="H38" s="84"/>
      <c r="I38" s="40"/>
    </row>
    <row r="39">
      <c r="A39" s="66" t="s">
        <v>8</v>
      </c>
      <c r="B39" s="39" t="s">
        <v>1558</v>
      </c>
      <c r="C39" s="39">
        <v>78.0</v>
      </c>
      <c r="D39" s="78" t="b">
        <v>0</v>
      </c>
      <c r="F39" s="64"/>
      <c r="G39" s="84"/>
      <c r="H39" s="84"/>
      <c r="I39" s="40"/>
    </row>
    <row r="40">
      <c r="A40" s="66" t="s">
        <v>6</v>
      </c>
      <c r="B40" s="66" t="s">
        <v>1538</v>
      </c>
      <c r="C40" s="92">
        <v>81.0</v>
      </c>
      <c r="D40" s="78" t="b">
        <v>1</v>
      </c>
      <c r="F40" s="64"/>
      <c r="G40" s="84"/>
      <c r="H40" s="84"/>
      <c r="I40" s="40"/>
    </row>
    <row r="41">
      <c r="A41" s="66" t="s">
        <v>8</v>
      </c>
      <c r="B41" s="39" t="s">
        <v>1559</v>
      </c>
      <c r="C41" s="39">
        <v>84.0</v>
      </c>
      <c r="D41" s="78" t="b">
        <v>0</v>
      </c>
      <c r="F41" s="64"/>
      <c r="G41" s="84"/>
      <c r="H41" s="84"/>
      <c r="I41" s="40"/>
    </row>
    <row r="42">
      <c r="A42" s="66" t="s">
        <v>8</v>
      </c>
      <c r="B42" s="39" t="s">
        <v>1560</v>
      </c>
      <c r="C42" s="39">
        <v>85.0</v>
      </c>
      <c r="D42" s="78" t="b">
        <v>1</v>
      </c>
      <c r="F42" s="64"/>
      <c r="G42" s="84"/>
      <c r="H42" s="84"/>
      <c r="I42" s="40"/>
    </row>
    <row r="43">
      <c r="A43" s="66" t="s">
        <v>6</v>
      </c>
      <c r="B43" s="66" t="s">
        <v>1561</v>
      </c>
      <c r="C43" s="92">
        <v>90.0</v>
      </c>
      <c r="D43" s="78" t="b">
        <v>1</v>
      </c>
      <c r="F43" s="64"/>
      <c r="G43" s="84"/>
      <c r="H43" s="84"/>
      <c r="I43" s="40"/>
    </row>
    <row r="44">
      <c r="A44" s="66" t="s">
        <v>130</v>
      </c>
      <c r="B44" s="66" t="s">
        <v>1562</v>
      </c>
      <c r="C44" s="78">
        <v>94.0</v>
      </c>
      <c r="D44" s="78" t="b">
        <v>1</v>
      </c>
      <c r="F44" s="64"/>
      <c r="G44" s="84"/>
      <c r="H44" s="84"/>
      <c r="I44" s="40"/>
    </row>
    <row r="45">
      <c r="A45" s="75" t="s">
        <v>7</v>
      </c>
      <c r="B45" s="72" t="s">
        <v>183</v>
      </c>
      <c r="C45" s="76">
        <v>90.0</v>
      </c>
      <c r="D45" s="78" t="b">
        <v>1</v>
      </c>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45">
      <formula1>$A$14:$A$17</formula1>
    </dataValidation>
  </dataValidations>
  <hyperlinks>
    <hyperlink display="Back to summary" location="Summary (micro)!A1" ref="B1"/>
    <hyperlink r:id="rId1" ref="B1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89</v>
      </c>
      <c r="B1" s="58" t="s">
        <v>90</v>
      </c>
      <c r="C1" s="1" t="s">
        <v>91</v>
      </c>
      <c r="D1" s="1" t="s">
        <v>92</v>
      </c>
      <c r="E1" s="1" t="s">
        <v>93</v>
      </c>
      <c r="F1" s="59" t="s">
        <v>94</v>
      </c>
      <c r="G1" s="60" t="s">
        <v>95</v>
      </c>
      <c r="H1" s="60" t="s">
        <v>96</v>
      </c>
      <c r="I1" s="1" t="s">
        <v>97</v>
      </c>
      <c r="J1" s="1"/>
    </row>
    <row r="2">
      <c r="A2" s="39" t="s">
        <v>75</v>
      </c>
      <c r="B2" s="39" t="s">
        <v>98</v>
      </c>
      <c r="C2" s="39">
        <f t="shared" ref="C2:C6" si="1">COUNTIF(I:I,A2)</f>
        <v>1</v>
      </c>
      <c r="D2" s="62">
        <f t="shared" ref="D2:D6" si="2">C2/COUNTA(I$2:I1000)</f>
        <v>0.04761904762</v>
      </c>
      <c r="E2" s="87">
        <v>1.610569116E9</v>
      </c>
      <c r="F2" s="64">
        <f>IFERROR(__xludf.DUMMYFUNCTION("INDEX(SPLIT(E2, char(10)), 0, 1)/86400+date(1970,1,1)"),44209.84625)</f>
        <v>44209.84625</v>
      </c>
      <c r="G2" s="84" t="s">
        <v>1563</v>
      </c>
      <c r="H2" s="84" t="s">
        <v>1564</v>
      </c>
      <c r="I2" s="39" t="s">
        <v>17</v>
      </c>
      <c r="J2" s="39"/>
    </row>
    <row r="3">
      <c r="A3" s="39" t="s">
        <v>14</v>
      </c>
      <c r="B3" s="39" t="s">
        <v>101</v>
      </c>
      <c r="C3" s="39">
        <f t="shared" si="1"/>
        <v>6</v>
      </c>
      <c r="D3" s="62">
        <f t="shared" si="2"/>
        <v>0.2857142857</v>
      </c>
      <c r="E3" s="87">
        <v>1.610569638E9</v>
      </c>
      <c r="F3" s="64">
        <f>IFERROR(__xludf.DUMMYFUNCTION("INDEX(SPLIT(E3, char(10)), 0, 1)/86400+date(1970,1,1)"),44209.85229166667)</f>
        <v>44209.85229</v>
      </c>
      <c r="G3" s="84" t="s">
        <v>1565</v>
      </c>
      <c r="H3" s="84" t="s">
        <v>1566</v>
      </c>
      <c r="I3" s="39" t="s">
        <v>17</v>
      </c>
      <c r="J3" s="39"/>
    </row>
    <row r="4">
      <c r="A4" s="39" t="s">
        <v>15</v>
      </c>
      <c r="B4" s="39" t="s">
        <v>104</v>
      </c>
      <c r="C4" s="39">
        <f t="shared" si="1"/>
        <v>1</v>
      </c>
      <c r="D4" s="62">
        <f t="shared" si="2"/>
        <v>0.04761904762</v>
      </c>
      <c r="E4" s="87">
        <v>1.610569772E9</v>
      </c>
      <c r="F4" s="64">
        <f>IFERROR(__xludf.DUMMYFUNCTION("INDEX(SPLIT(E4, char(10)), 0, 1)/86400+date(1970,1,1)"),44209.853842592594)</f>
        <v>44209.85384</v>
      </c>
      <c r="G4" s="84" t="s">
        <v>1567</v>
      </c>
      <c r="H4" s="84" t="s">
        <v>1568</v>
      </c>
      <c r="I4" s="39" t="s">
        <v>16</v>
      </c>
      <c r="J4" s="39"/>
    </row>
    <row r="5">
      <c r="A5" s="39" t="s">
        <v>16</v>
      </c>
      <c r="B5" s="39" t="s">
        <v>107</v>
      </c>
      <c r="C5" s="39">
        <f t="shared" si="1"/>
        <v>9</v>
      </c>
      <c r="D5" s="62">
        <f t="shared" si="2"/>
        <v>0.4285714286</v>
      </c>
      <c r="E5" s="87">
        <v>1.6105704E9</v>
      </c>
      <c r="F5" s="64">
        <f>IFERROR(__xludf.DUMMYFUNCTION("INDEX(SPLIT(E5, char(10)), 0, 1)/86400+date(1970,1,1)"),44209.86111111111)</f>
        <v>44209.86111</v>
      </c>
      <c r="G5" s="84" t="s">
        <v>1569</v>
      </c>
      <c r="H5" s="84" t="s">
        <v>1570</v>
      </c>
      <c r="I5" s="39" t="s">
        <v>16</v>
      </c>
      <c r="J5" s="39"/>
    </row>
    <row r="6">
      <c r="A6" s="39" t="s">
        <v>17</v>
      </c>
      <c r="B6" s="39" t="s">
        <v>110</v>
      </c>
      <c r="C6" s="39">
        <f t="shared" si="1"/>
        <v>4</v>
      </c>
      <c r="D6" s="62">
        <f t="shared" si="2"/>
        <v>0.1904761905</v>
      </c>
      <c r="E6" s="87">
        <v>1.610570628E9</v>
      </c>
      <c r="F6" s="64">
        <f>IFERROR(__xludf.DUMMYFUNCTION("INDEX(SPLIT(E6, char(10)), 0, 1)/86400+date(1970,1,1)"),44209.863750000004)</f>
        <v>44209.86375</v>
      </c>
      <c r="G6" s="84" t="s">
        <v>1571</v>
      </c>
      <c r="H6" s="84" t="s">
        <v>1572</v>
      </c>
      <c r="I6" s="39" t="s">
        <v>14</v>
      </c>
    </row>
    <row r="7">
      <c r="B7" s="39" t="s">
        <v>13</v>
      </c>
      <c r="C7" s="67">
        <f t="shared" ref="C7:D7" si="3">SUM(C2:C6)</f>
        <v>21</v>
      </c>
      <c r="D7" s="68">
        <f t="shared" si="3"/>
        <v>1</v>
      </c>
      <c r="E7" s="87">
        <v>1.610570822E9</v>
      </c>
      <c r="F7" s="64">
        <f>IFERROR(__xludf.DUMMYFUNCTION("INDEX(SPLIT(E7, char(10)), 0, 1)/86400+date(1970,1,1)"),44209.865995370375)</f>
        <v>44209.866</v>
      </c>
      <c r="G7" s="84" t="s">
        <v>1573</v>
      </c>
      <c r="H7" s="84" t="s">
        <v>1574</v>
      </c>
      <c r="I7" s="39" t="s">
        <v>14</v>
      </c>
    </row>
    <row r="8">
      <c r="A8" s="69"/>
      <c r="B8" s="39" t="s">
        <v>18</v>
      </c>
      <c r="C8" s="55">
        <f t="shared" ref="C8:D8" si="4">SUM(C5:C6)</f>
        <v>13</v>
      </c>
      <c r="D8" s="13">
        <f t="shared" si="4"/>
        <v>0.619047619</v>
      </c>
      <c r="E8" s="87">
        <v>1.610571025E9</v>
      </c>
      <c r="F8" s="64">
        <f>IFERROR(__xludf.DUMMYFUNCTION("INDEX(SPLIT(E8, char(10)), 0, 1)/86400+date(1970,1,1)"),44209.86834490741)</f>
        <v>44209.86834</v>
      </c>
      <c r="G8" s="84" t="s">
        <v>1575</v>
      </c>
      <c r="H8" s="84" t="s">
        <v>1576</v>
      </c>
      <c r="I8" s="39" t="s">
        <v>16</v>
      </c>
    </row>
    <row r="9">
      <c r="A9" s="69"/>
      <c r="B9" s="39" t="s">
        <v>47</v>
      </c>
      <c r="C9" s="55">
        <f>SUM(C6:C7)</f>
        <v>25</v>
      </c>
      <c r="D9" s="13">
        <f>SUM(D5:D6) + D2</f>
        <v>0.6666666667</v>
      </c>
      <c r="E9" s="87">
        <v>1.61057122E9</v>
      </c>
      <c r="F9" s="64">
        <f>IFERROR(__xludf.DUMMYFUNCTION("INDEX(SPLIT(E9, char(10)), 0, 1)/86400+date(1970,1,1)"),44209.87060185186)</f>
        <v>44209.8706</v>
      </c>
      <c r="G9" s="84" t="s">
        <v>1577</v>
      </c>
      <c r="H9" s="84" t="s">
        <v>1578</v>
      </c>
      <c r="I9" s="39" t="s">
        <v>17</v>
      </c>
    </row>
    <row r="10">
      <c r="A10" s="69"/>
      <c r="B10" s="69"/>
      <c r="C10" s="69"/>
      <c r="D10" s="69"/>
      <c r="E10" s="87">
        <v>1.610571346E9</v>
      </c>
      <c r="F10" s="64">
        <f>IFERROR(__xludf.DUMMYFUNCTION("INDEX(SPLIT(E10, char(10)), 0, 1)/86400+date(1970,1,1)"),44209.87206018518)</f>
        <v>44209.87206</v>
      </c>
      <c r="G10" s="84" t="s">
        <v>1579</v>
      </c>
      <c r="H10" s="84" t="s">
        <v>1580</v>
      </c>
      <c r="I10" s="39" t="s">
        <v>15</v>
      </c>
    </row>
    <row r="11">
      <c r="A11" s="69"/>
      <c r="B11" s="69"/>
      <c r="C11" s="69"/>
      <c r="D11" s="69"/>
      <c r="E11" s="87">
        <v>1.610571857E9</v>
      </c>
      <c r="F11" s="64">
        <f>IFERROR(__xludf.DUMMYFUNCTION("INDEX(SPLIT(E11, char(10)), 0, 1)/86400+date(1970,1,1)"),44209.87797453704)</f>
        <v>44209.87797</v>
      </c>
      <c r="G11" s="84" t="s">
        <v>1581</v>
      </c>
      <c r="H11" s="84" t="s">
        <v>1582</v>
      </c>
      <c r="I11" s="39" t="s">
        <v>16</v>
      </c>
    </row>
    <row r="12">
      <c r="A12" s="70" t="s">
        <v>123</v>
      </c>
      <c r="B12" s="93" t="s">
        <v>1583</v>
      </c>
      <c r="C12" s="69"/>
      <c r="D12" s="72"/>
      <c r="E12" s="87">
        <v>1.610572909E9</v>
      </c>
      <c r="F12" s="64">
        <f>IFERROR(__xludf.DUMMYFUNCTION("INDEX(SPLIT(E12, char(10)), 0, 1)/86400+date(1970,1,1)"),44209.89015046296)</f>
        <v>44209.89015</v>
      </c>
      <c r="G12" s="84" t="s">
        <v>1584</v>
      </c>
      <c r="H12" s="84" t="s">
        <v>1585</v>
      </c>
      <c r="I12" s="39" t="s">
        <v>14</v>
      </c>
    </row>
    <row r="13">
      <c r="A13" s="70" t="s">
        <v>127</v>
      </c>
      <c r="B13" s="72"/>
      <c r="C13" s="70" t="s">
        <v>91</v>
      </c>
      <c r="D13" s="70" t="s">
        <v>92</v>
      </c>
      <c r="E13" s="87">
        <v>1.610573278E9</v>
      </c>
      <c r="F13" s="64">
        <f>IFERROR(__xludf.DUMMYFUNCTION("INDEX(SPLIT(E13, char(10)), 0, 1)/86400+date(1970,1,1)"),44209.894421296296)</f>
        <v>44209.89442</v>
      </c>
      <c r="G13" s="84" t="s">
        <v>1586</v>
      </c>
      <c r="H13" s="84" t="s">
        <v>1587</v>
      </c>
      <c r="I13" s="39" t="s">
        <v>14</v>
      </c>
    </row>
    <row r="14">
      <c r="A14" s="5" t="s">
        <v>130</v>
      </c>
      <c r="B14" s="5" t="s">
        <v>131</v>
      </c>
      <c r="C14" s="73">
        <f t="shared" ref="C14:C17" si="5">COUNTIF($A$19:$A1000, A14)</f>
        <v>5</v>
      </c>
      <c r="D14" s="74">
        <f>IFERROR(__xludf.DUMMYFUNCTION("IF(C14, COUNTIF(FILTER($D$19:$D1000, $A$19:$A1000=A14), TRUE)/C14, 0)"),0.8)</f>
        <v>0.8</v>
      </c>
      <c r="E14" s="87">
        <v>1.610573949E9</v>
      </c>
      <c r="F14" s="64">
        <f>IFERROR(__xludf.DUMMYFUNCTION("INDEX(SPLIT(E14, char(10)), 0, 1)/86400+date(1970,1,1)"),44209.9021875)</f>
        <v>44209.90219</v>
      </c>
      <c r="G14" s="84" t="s">
        <v>1588</v>
      </c>
      <c r="H14" s="84" t="s">
        <v>1589</v>
      </c>
      <c r="I14" s="39" t="s">
        <v>16</v>
      </c>
    </row>
    <row r="15">
      <c r="A15" s="5" t="s">
        <v>6</v>
      </c>
      <c r="B15" s="5" t="s">
        <v>134</v>
      </c>
      <c r="C15" s="73">
        <f t="shared" si="5"/>
        <v>5</v>
      </c>
      <c r="D15" s="74">
        <f>IFERROR(__xludf.DUMMYFUNCTION("IF(C15, COUNTIF(FILTER($D$19:$D1000, $A$19:$A1000=A15), TRUE)/C15, 0)"),0.0)</f>
        <v>0</v>
      </c>
      <c r="E15" s="87">
        <v>1.610574057E9</v>
      </c>
      <c r="F15" s="64">
        <f>IFERROR(__xludf.DUMMYFUNCTION("INDEX(SPLIT(E15, char(10)), 0, 1)/86400+date(1970,1,1)"),44209.903437500005)</f>
        <v>44209.90344</v>
      </c>
      <c r="G15" s="84" t="s">
        <v>1590</v>
      </c>
      <c r="H15" s="84" t="s">
        <v>1591</v>
      </c>
      <c r="I15" s="39" t="s">
        <v>17</v>
      </c>
    </row>
    <row r="16">
      <c r="A16" s="5" t="s">
        <v>7</v>
      </c>
      <c r="B16" s="5" t="s">
        <v>137</v>
      </c>
      <c r="C16" s="73">
        <f t="shared" si="5"/>
        <v>4</v>
      </c>
      <c r="D16" s="74">
        <f>IFERROR(__xludf.DUMMYFUNCTION("IF(C16, COUNTIF(FILTER($D$19:$D1000, $A$19:$A1000=A16), TRUE)/C16, 0)"),0.75)</f>
        <v>0.75</v>
      </c>
      <c r="E16" s="87">
        <v>1.610574163E9</v>
      </c>
      <c r="F16" s="64">
        <f>IFERROR(__xludf.DUMMYFUNCTION("INDEX(SPLIT(E16, char(10)), 0, 1)/86400+date(1970,1,1)"),44209.90466435185)</f>
        <v>44209.90466</v>
      </c>
      <c r="G16" s="84" t="s">
        <v>1592</v>
      </c>
      <c r="H16" s="84" t="s">
        <v>1593</v>
      </c>
      <c r="I16" s="39" t="s">
        <v>14</v>
      </c>
    </row>
    <row r="17">
      <c r="A17" s="5" t="s">
        <v>8</v>
      </c>
      <c r="B17" s="5" t="s">
        <v>79</v>
      </c>
      <c r="C17" s="73">
        <f t="shared" si="5"/>
        <v>10</v>
      </c>
      <c r="D17" s="74">
        <f>IFERROR(__xludf.DUMMYFUNCTION("IF(C17, COUNTIF(FILTER($D$19:$D1000, $A$19:$A1000=A17), TRUE)/C17, 0)"),0.4)</f>
        <v>0.4</v>
      </c>
      <c r="E17" s="87">
        <v>1.610574301E9</v>
      </c>
      <c r="F17" s="64">
        <f>IFERROR(__xludf.DUMMYFUNCTION("INDEX(SPLIT(E17, char(10)), 0, 1)/86400+date(1970,1,1)"),44209.90626157407)</f>
        <v>44209.90626</v>
      </c>
      <c r="G17" s="84" t="s">
        <v>1594</v>
      </c>
      <c r="H17" s="84" t="s">
        <v>1595</v>
      </c>
      <c r="I17" s="39" t="s">
        <v>14</v>
      </c>
    </row>
    <row r="18">
      <c r="A18" s="72"/>
      <c r="B18" s="70" t="s">
        <v>9</v>
      </c>
      <c r="C18" s="73">
        <f>SUM(C14:C17)</f>
        <v>24</v>
      </c>
      <c r="D18" s="74">
        <f>COUNTIF($D$19:$D1000, TRUE)/SUM($C$14:$C$17)</f>
        <v>0.4583333333</v>
      </c>
      <c r="E18" s="87">
        <v>1.610574405E9</v>
      </c>
      <c r="F18" s="64">
        <f>IFERROR(__xludf.DUMMYFUNCTION("INDEX(SPLIT(E18, char(10)), 0, 1)/86400+date(1970,1,1)"),44209.90746527778)</f>
        <v>44209.90747</v>
      </c>
      <c r="G18" s="84" t="s">
        <v>1596</v>
      </c>
      <c r="H18" s="84" t="s">
        <v>1597</v>
      </c>
      <c r="I18" s="39" t="s">
        <v>16</v>
      </c>
    </row>
    <row r="19">
      <c r="A19" s="70" t="s">
        <v>97</v>
      </c>
      <c r="B19" s="70" t="s">
        <v>144</v>
      </c>
      <c r="C19" s="70" t="s">
        <v>145</v>
      </c>
      <c r="D19" s="70" t="s">
        <v>146</v>
      </c>
      <c r="E19" s="87">
        <v>1.610574525E9</v>
      </c>
      <c r="F19" s="64">
        <f>IFERROR(__xludf.DUMMYFUNCTION("INDEX(SPLIT(E19, char(10)), 0, 1)/86400+date(1970,1,1)"),44209.90885416667)</f>
        <v>44209.90885</v>
      </c>
      <c r="G19" s="84" t="s">
        <v>1598</v>
      </c>
      <c r="H19" s="84" t="s">
        <v>1599</v>
      </c>
      <c r="I19" s="39" t="s">
        <v>16</v>
      </c>
    </row>
    <row r="20">
      <c r="A20" s="75" t="s">
        <v>7</v>
      </c>
      <c r="B20" s="75" t="s">
        <v>149</v>
      </c>
      <c r="C20" s="76">
        <v>1.0</v>
      </c>
      <c r="D20" s="78" t="b">
        <v>0</v>
      </c>
      <c r="E20" s="87">
        <v>1.610574662E9</v>
      </c>
      <c r="F20" s="64">
        <f>IFERROR(__xludf.DUMMYFUNCTION("INDEX(SPLIT(E20, char(10)), 0, 1)/86400+date(1970,1,1)"),44209.91043981482)</f>
        <v>44209.91044</v>
      </c>
      <c r="G20" s="84" t="s">
        <v>1600</v>
      </c>
      <c r="H20" s="84" t="s">
        <v>1601</v>
      </c>
      <c r="I20" s="39" t="s">
        <v>16</v>
      </c>
    </row>
    <row r="21">
      <c r="A21" s="66" t="s">
        <v>6</v>
      </c>
      <c r="B21" s="39" t="s">
        <v>1602</v>
      </c>
      <c r="C21" s="39">
        <v>17.0</v>
      </c>
      <c r="D21" s="78" t="b">
        <v>0</v>
      </c>
      <c r="E21" s="87">
        <v>1.610574798E9</v>
      </c>
      <c r="F21" s="64">
        <f>IFERROR(__xludf.DUMMYFUNCTION("INDEX(SPLIT(E21, char(10)), 0, 1)/86400+date(1970,1,1)"),44209.91201388889)</f>
        <v>44209.91201</v>
      </c>
      <c r="G21" s="84" t="s">
        <v>1603</v>
      </c>
      <c r="H21" s="84" t="s">
        <v>1604</v>
      </c>
      <c r="I21" s="39" t="s">
        <v>75</v>
      </c>
    </row>
    <row r="22">
      <c r="A22" s="39" t="s">
        <v>130</v>
      </c>
      <c r="B22" s="39" t="s">
        <v>1605</v>
      </c>
      <c r="C22" s="39">
        <v>22.0</v>
      </c>
      <c r="D22" s="78" t="b">
        <v>0</v>
      </c>
      <c r="E22" s="87">
        <v>1.610575069E9</v>
      </c>
      <c r="F22" s="64">
        <f>IFERROR(__xludf.DUMMYFUNCTION("INDEX(SPLIT(E22, char(10)), 0, 1)/86400+date(1970,1,1)"),44209.91515046296)</f>
        <v>44209.91515</v>
      </c>
      <c r="G22" s="84" t="s">
        <v>1606</v>
      </c>
      <c r="H22" s="84" t="s">
        <v>1607</v>
      </c>
      <c r="I22" s="39" t="s">
        <v>16</v>
      </c>
    </row>
    <row r="23">
      <c r="A23" s="66" t="s">
        <v>6</v>
      </c>
      <c r="B23" s="66" t="s">
        <v>1608</v>
      </c>
      <c r="C23" s="92">
        <v>26.0</v>
      </c>
      <c r="D23" s="78" t="b">
        <v>0</v>
      </c>
      <c r="F23" s="64"/>
      <c r="G23" s="84"/>
      <c r="H23" s="84"/>
      <c r="I23" s="40"/>
    </row>
    <row r="24">
      <c r="A24" s="39" t="s">
        <v>130</v>
      </c>
      <c r="B24" s="39" t="s">
        <v>1609</v>
      </c>
      <c r="C24" s="39">
        <v>29.0</v>
      </c>
      <c r="D24" s="78" t="b">
        <v>1</v>
      </c>
      <c r="F24" s="64"/>
      <c r="G24" s="84"/>
      <c r="H24" s="84"/>
      <c r="I24" s="40"/>
    </row>
    <row r="25">
      <c r="A25" s="66" t="s">
        <v>130</v>
      </c>
      <c r="B25" s="66" t="s">
        <v>1610</v>
      </c>
      <c r="C25" s="92">
        <v>39.0</v>
      </c>
      <c r="D25" s="78" t="b">
        <v>1</v>
      </c>
      <c r="F25" s="64"/>
      <c r="G25" s="84"/>
      <c r="H25" s="84"/>
      <c r="I25" s="40"/>
    </row>
    <row r="26">
      <c r="A26" s="5" t="s">
        <v>7</v>
      </c>
      <c r="B26" s="5" t="s">
        <v>155</v>
      </c>
      <c r="C26" s="76">
        <v>45.0</v>
      </c>
      <c r="D26" s="78" t="b">
        <v>1</v>
      </c>
      <c r="F26" s="64"/>
      <c r="G26" s="84"/>
      <c r="H26" s="84"/>
      <c r="I26" s="40"/>
    </row>
    <row r="27">
      <c r="A27" s="75" t="s">
        <v>7</v>
      </c>
      <c r="B27" s="72" t="s">
        <v>158</v>
      </c>
      <c r="C27" s="76">
        <v>46.0</v>
      </c>
      <c r="D27" s="78" t="b">
        <v>1</v>
      </c>
      <c r="F27" s="64"/>
      <c r="G27" s="84"/>
      <c r="H27" s="84"/>
      <c r="I27" s="40"/>
    </row>
    <row r="28">
      <c r="A28" s="66" t="s">
        <v>8</v>
      </c>
      <c r="B28" s="39" t="s">
        <v>1611</v>
      </c>
      <c r="C28" s="39">
        <v>46.0</v>
      </c>
      <c r="D28" s="78" t="b">
        <v>1</v>
      </c>
      <c r="F28" s="64"/>
      <c r="G28" s="84"/>
      <c r="H28" s="84"/>
      <c r="I28" s="40"/>
    </row>
    <row r="29">
      <c r="A29" s="66" t="s">
        <v>8</v>
      </c>
      <c r="B29" s="39" t="s">
        <v>1612</v>
      </c>
      <c r="C29" s="39">
        <v>56.0</v>
      </c>
      <c r="D29" s="78" t="b">
        <v>0</v>
      </c>
      <c r="F29" s="64"/>
      <c r="G29" s="84"/>
      <c r="H29" s="84"/>
      <c r="I29" s="40"/>
    </row>
    <row r="30">
      <c r="A30" s="66" t="s">
        <v>8</v>
      </c>
      <c r="B30" s="66" t="s">
        <v>1613</v>
      </c>
      <c r="C30" s="92">
        <v>56.0</v>
      </c>
      <c r="D30" s="78" t="b">
        <v>0</v>
      </c>
      <c r="F30" s="64"/>
      <c r="G30" s="84"/>
      <c r="H30" s="84"/>
      <c r="I30" s="40"/>
    </row>
    <row r="31">
      <c r="A31" s="66" t="s">
        <v>8</v>
      </c>
      <c r="B31" s="39" t="s">
        <v>1614</v>
      </c>
      <c r="C31" s="39">
        <v>65.0</v>
      </c>
      <c r="D31" s="78" t="b">
        <v>0</v>
      </c>
      <c r="F31" s="64"/>
      <c r="G31" s="84"/>
      <c r="H31" s="84"/>
      <c r="I31" s="40"/>
    </row>
    <row r="32">
      <c r="A32" s="66" t="s">
        <v>8</v>
      </c>
      <c r="B32" s="66" t="s">
        <v>1615</v>
      </c>
      <c r="C32" s="92">
        <v>65.0</v>
      </c>
      <c r="D32" s="78" t="b">
        <v>0</v>
      </c>
      <c r="F32" s="64"/>
      <c r="G32" s="84"/>
      <c r="H32" s="84"/>
      <c r="I32" s="40"/>
    </row>
    <row r="33">
      <c r="A33" s="66" t="s">
        <v>8</v>
      </c>
      <c r="B33" s="66" t="s">
        <v>1616</v>
      </c>
      <c r="C33" s="92">
        <v>66.0</v>
      </c>
      <c r="D33" s="78" t="b">
        <v>0</v>
      </c>
      <c r="F33" s="64"/>
      <c r="G33" s="84"/>
      <c r="H33" s="84"/>
      <c r="I33" s="40"/>
    </row>
    <row r="34">
      <c r="A34" s="66" t="s">
        <v>6</v>
      </c>
      <c r="B34" s="39" t="s">
        <v>1617</v>
      </c>
      <c r="C34" s="39">
        <v>72.0</v>
      </c>
      <c r="D34" s="78" t="b">
        <v>0</v>
      </c>
      <c r="F34" s="64"/>
      <c r="G34" s="84"/>
      <c r="H34" s="84"/>
      <c r="I34" s="40"/>
    </row>
    <row r="35">
      <c r="A35" s="66" t="s">
        <v>6</v>
      </c>
      <c r="B35" s="39" t="s">
        <v>1618</v>
      </c>
      <c r="C35" s="39">
        <v>77.0</v>
      </c>
      <c r="D35" s="78" t="b">
        <v>0</v>
      </c>
      <c r="F35" s="64"/>
      <c r="G35" s="84"/>
      <c r="H35" s="84"/>
      <c r="I35" s="40"/>
    </row>
    <row r="36">
      <c r="A36" s="66" t="s">
        <v>8</v>
      </c>
      <c r="B36" s="39" t="s">
        <v>1619</v>
      </c>
      <c r="C36" s="39">
        <v>80.0</v>
      </c>
      <c r="D36" s="78" t="b">
        <v>1</v>
      </c>
      <c r="F36" s="64"/>
      <c r="G36" s="84"/>
      <c r="H36" s="84"/>
      <c r="I36" s="40"/>
    </row>
    <row r="37">
      <c r="A37" s="66" t="s">
        <v>130</v>
      </c>
      <c r="B37" s="39" t="s">
        <v>1620</v>
      </c>
      <c r="C37" s="39">
        <v>85.0</v>
      </c>
      <c r="D37" s="78" t="b">
        <v>1</v>
      </c>
      <c r="F37" s="64"/>
      <c r="G37" s="84"/>
      <c r="H37" s="84"/>
      <c r="I37" s="40"/>
    </row>
    <row r="38">
      <c r="A38" s="66" t="s">
        <v>8</v>
      </c>
      <c r="B38" s="66" t="s">
        <v>1621</v>
      </c>
      <c r="C38" s="92">
        <v>88.0</v>
      </c>
      <c r="D38" s="78" t="b">
        <v>1</v>
      </c>
      <c r="F38" s="64"/>
      <c r="G38" s="84"/>
      <c r="H38" s="84"/>
      <c r="I38" s="40"/>
    </row>
    <row r="39">
      <c r="A39" s="66" t="s">
        <v>8</v>
      </c>
      <c r="B39" s="39" t="s">
        <v>1622</v>
      </c>
      <c r="C39" s="39">
        <v>88.0</v>
      </c>
      <c r="D39" s="78" t="b">
        <v>1</v>
      </c>
      <c r="F39" s="64"/>
      <c r="G39" s="84"/>
      <c r="H39" s="84"/>
      <c r="I39" s="40"/>
    </row>
    <row r="40">
      <c r="A40" s="66" t="s">
        <v>130</v>
      </c>
      <c r="B40" s="66" t="s">
        <v>1623</v>
      </c>
      <c r="C40" s="92">
        <v>89.0</v>
      </c>
      <c r="D40" s="78" t="b">
        <v>1</v>
      </c>
      <c r="F40" s="64"/>
      <c r="G40" s="84"/>
      <c r="H40" s="84"/>
      <c r="I40" s="40"/>
    </row>
    <row r="41">
      <c r="A41" s="66" t="s">
        <v>8</v>
      </c>
      <c r="B41" s="39" t="s">
        <v>1624</v>
      </c>
      <c r="C41" s="39">
        <v>90.0</v>
      </c>
      <c r="D41" s="78" t="b">
        <v>0</v>
      </c>
      <c r="F41" s="64"/>
      <c r="G41" s="84"/>
      <c r="H41" s="84"/>
      <c r="I41" s="40"/>
    </row>
    <row r="42">
      <c r="A42" s="66" t="s">
        <v>6</v>
      </c>
      <c r="B42" s="39" t="s">
        <v>1625</v>
      </c>
      <c r="C42" s="39">
        <v>94.0</v>
      </c>
      <c r="D42" s="78" t="b">
        <v>0</v>
      </c>
      <c r="F42" s="64"/>
      <c r="G42" s="84"/>
      <c r="H42" s="84"/>
      <c r="I42" s="40"/>
    </row>
    <row r="43">
      <c r="A43" s="75" t="s">
        <v>7</v>
      </c>
      <c r="B43" s="72" t="s">
        <v>183</v>
      </c>
      <c r="C43" s="76">
        <v>90.0</v>
      </c>
      <c r="D43" s="78" t="b">
        <v>1</v>
      </c>
      <c r="F43" s="64"/>
      <c r="G43" s="84"/>
      <c r="H43" s="84"/>
      <c r="I43" s="40"/>
    </row>
    <row r="44">
      <c r="A44" s="66"/>
      <c r="B44" s="66"/>
      <c r="C44" s="78"/>
      <c r="D44" s="78"/>
      <c r="F44" s="64"/>
      <c r="G44" s="84"/>
      <c r="H44" s="84"/>
      <c r="I44" s="40"/>
    </row>
    <row r="45">
      <c r="F45" s="64"/>
      <c r="G45" s="81"/>
      <c r="H45" s="81"/>
      <c r="I45" s="40"/>
    </row>
    <row r="46">
      <c r="F46" s="64"/>
      <c r="G46" s="81"/>
      <c r="H46" s="81"/>
      <c r="I46" s="40"/>
    </row>
    <row r="47">
      <c r="F47" s="64"/>
      <c r="G47" s="81"/>
      <c r="H47" s="81"/>
      <c r="I47" s="40"/>
    </row>
    <row r="48">
      <c r="F48" s="64"/>
      <c r="G48" s="81"/>
      <c r="H48" s="81"/>
      <c r="I48" s="40"/>
    </row>
    <row r="49">
      <c r="F49" s="64"/>
      <c r="G49" s="81"/>
      <c r="H49" s="81"/>
      <c r="I49" s="40"/>
    </row>
    <row r="50">
      <c r="F50" s="64"/>
      <c r="G50" s="81"/>
      <c r="H50" s="81"/>
      <c r="I50" s="40"/>
    </row>
    <row r="51">
      <c r="F51" s="64"/>
      <c r="G51" s="81"/>
      <c r="H51" s="81"/>
      <c r="I51" s="40"/>
    </row>
    <row r="52">
      <c r="F52" s="64"/>
      <c r="G52" s="83"/>
      <c r="H52" s="83"/>
    </row>
    <row r="53">
      <c r="F53" s="64"/>
      <c r="G53" s="83"/>
      <c r="H53" s="83"/>
    </row>
    <row r="54">
      <c r="F54" s="64"/>
      <c r="G54" s="83"/>
      <c r="H54" s="83"/>
    </row>
    <row r="55">
      <c r="F55" s="64"/>
      <c r="G55" s="83"/>
      <c r="H55" s="83"/>
    </row>
    <row r="56">
      <c r="F56" s="64"/>
      <c r="G56" s="83"/>
      <c r="H56" s="83"/>
    </row>
    <row r="57">
      <c r="F57" s="64"/>
      <c r="G57" s="83"/>
      <c r="H57" s="83"/>
    </row>
    <row r="58">
      <c r="F58" s="64"/>
      <c r="G58" s="83"/>
      <c r="H58" s="83"/>
    </row>
    <row r="59">
      <c r="F59" s="64"/>
      <c r="G59" s="83"/>
      <c r="H59" s="83"/>
    </row>
    <row r="60">
      <c r="F60" s="64"/>
      <c r="G60" s="83"/>
      <c r="H60" s="83"/>
    </row>
    <row r="61">
      <c r="F61" s="64"/>
      <c r="G61" s="83"/>
      <c r="H61" s="83"/>
    </row>
    <row r="62">
      <c r="F62" s="64"/>
      <c r="G62" s="83"/>
      <c r="H62" s="83"/>
    </row>
    <row r="63">
      <c r="F63" s="64"/>
      <c r="G63" s="83"/>
      <c r="H63" s="83"/>
    </row>
    <row r="64">
      <c r="F64" s="64"/>
      <c r="G64" s="83"/>
      <c r="H64" s="83"/>
    </row>
    <row r="65">
      <c r="F65" s="64"/>
      <c r="G65" s="83"/>
      <c r="H65" s="83"/>
    </row>
    <row r="66">
      <c r="F66" s="64"/>
      <c r="G66" s="83"/>
      <c r="H66" s="83"/>
    </row>
    <row r="67">
      <c r="F67" s="64"/>
      <c r="G67" s="83"/>
      <c r="H67" s="83"/>
    </row>
    <row r="68">
      <c r="F68" s="64"/>
      <c r="G68" s="83"/>
      <c r="H68" s="83"/>
    </row>
    <row r="69">
      <c r="F69" s="64"/>
      <c r="G69" s="83"/>
      <c r="H69" s="83"/>
    </row>
    <row r="70">
      <c r="F70" s="64"/>
      <c r="G70" s="83"/>
      <c r="H70" s="83"/>
    </row>
    <row r="71">
      <c r="F71" s="64"/>
      <c r="G71" s="83"/>
      <c r="H71" s="83"/>
    </row>
    <row r="72">
      <c r="F72" s="64"/>
      <c r="G72" s="83"/>
      <c r="H72" s="83"/>
    </row>
    <row r="73">
      <c r="F73" s="64"/>
      <c r="G73" s="83"/>
      <c r="H73" s="83"/>
    </row>
    <row r="74">
      <c r="F74" s="64"/>
      <c r="G74" s="83"/>
      <c r="H74" s="83"/>
    </row>
    <row r="75">
      <c r="F75" s="64"/>
      <c r="G75" s="83"/>
      <c r="H75" s="83"/>
    </row>
    <row r="76">
      <c r="F76" s="64"/>
      <c r="G76" s="83"/>
      <c r="H76" s="83"/>
    </row>
    <row r="77">
      <c r="F77" s="64"/>
      <c r="G77" s="83"/>
      <c r="H77" s="83"/>
    </row>
    <row r="78">
      <c r="F78" s="64"/>
      <c r="G78" s="83"/>
      <c r="H78" s="83"/>
    </row>
    <row r="79">
      <c r="F79" s="64"/>
      <c r="G79" s="83"/>
      <c r="H79" s="83"/>
    </row>
    <row r="80">
      <c r="F80" s="64"/>
      <c r="G80" s="83"/>
      <c r="H80" s="83"/>
    </row>
    <row r="81">
      <c r="F81" s="64"/>
      <c r="G81" s="83"/>
      <c r="H81" s="83"/>
    </row>
    <row r="82">
      <c r="F82" s="64"/>
      <c r="G82" s="83"/>
      <c r="H82" s="83"/>
    </row>
    <row r="83">
      <c r="F83" s="64"/>
      <c r="G83" s="83"/>
      <c r="H83" s="83"/>
    </row>
    <row r="84">
      <c r="F84" s="64"/>
      <c r="G84" s="83"/>
      <c r="H84" s="83"/>
    </row>
    <row r="85">
      <c r="F85" s="64"/>
      <c r="G85" s="83"/>
      <c r="H85" s="83"/>
    </row>
    <row r="86">
      <c r="F86" s="64"/>
      <c r="G86" s="83"/>
      <c r="H86" s="83"/>
    </row>
    <row r="87">
      <c r="F87" s="64"/>
      <c r="G87" s="83"/>
      <c r="H87" s="83"/>
    </row>
    <row r="88">
      <c r="F88" s="64"/>
      <c r="G88" s="83"/>
      <c r="H88" s="83"/>
    </row>
    <row r="89">
      <c r="F89" s="64"/>
      <c r="G89" s="83"/>
      <c r="H89" s="83"/>
    </row>
    <row r="90">
      <c r="F90" s="64"/>
      <c r="G90" s="83"/>
      <c r="H90" s="83"/>
    </row>
    <row r="91">
      <c r="F91" s="64"/>
      <c r="G91" s="83"/>
      <c r="H91" s="83"/>
    </row>
    <row r="92">
      <c r="F92" s="64"/>
      <c r="G92" s="83"/>
      <c r="H92" s="83"/>
    </row>
    <row r="93">
      <c r="F93" s="64"/>
      <c r="G93" s="83"/>
      <c r="H93" s="83"/>
    </row>
    <row r="94">
      <c r="F94" s="64"/>
      <c r="G94" s="83"/>
      <c r="H94" s="83"/>
    </row>
    <row r="95">
      <c r="F95" s="64"/>
      <c r="G95" s="83"/>
      <c r="H95" s="83"/>
    </row>
    <row r="96">
      <c r="F96" s="64"/>
      <c r="G96" s="83"/>
      <c r="H96" s="83"/>
    </row>
    <row r="97">
      <c r="F97" s="64"/>
      <c r="G97" s="83"/>
      <c r="H97" s="83"/>
    </row>
    <row r="98">
      <c r="F98" s="64"/>
      <c r="G98" s="83"/>
      <c r="H98" s="83"/>
    </row>
    <row r="99">
      <c r="F99" s="64"/>
      <c r="G99" s="83"/>
      <c r="H99" s="83"/>
    </row>
    <row r="100">
      <c r="F100" s="64"/>
      <c r="G100" s="83"/>
      <c r="H100" s="83"/>
    </row>
    <row r="101">
      <c r="F101" s="64"/>
      <c r="G101" s="83"/>
      <c r="H101" s="83"/>
    </row>
    <row r="102">
      <c r="F102" s="64"/>
      <c r="G102" s="83"/>
      <c r="H102" s="83"/>
    </row>
    <row r="103">
      <c r="F103" s="64"/>
      <c r="G103" s="83"/>
      <c r="H103" s="83"/>
    </row>
    <row r="104">
      <c r="F104" s="64"/>
      <c r="G104" s="83"/>
      <c r="H104" s="83"/>
    </row>
    <row r="105">
      <c r="F105" s="64"/>
      <c r="G105" s="83"/>
      <c r="H105" s="83"/>
    </row>
    <row r="106">
      <c r="F106" s="64"/>
      <c r="G106" s="83"/>
      <c r="H106" s="83"/>
    </row>
    <row r="107">
      <c r="F107" s="64"/>
      <c r="G107" s="83"/>
      <c r="H107" s="83"/>
    </row>
    <row r="108">
      <c r="F108" s="64"/>
      <c r="G108" s="83"/>
      <c r="H108" s="83"/>
    </row>
    <row r="109">
      <c r="F109" s="64"/>
      <c r="G109" s="83"/>
      <c r="H109" s="83"/>
    </row>
    <row r="110">
      <c r="F110" s="64"/>
      <c r="G110" s="83"/>
      <c r="H110" s="83"/>
    </row>
    <row r="111">
      <c r="F111" s="64"/>
      <c r="G111" s="83"/>
      <c r="H111" s="83"/>
    </row>
    <row r="112">
      <c r="F112" s="64"/>
      <c r="G112" s="83"/>
      <c r="H112" s="83"/>
    </row>
    <row r="113">
      <c r="F113" s="64"/>
      <c r="G113" s="83"/>
      <c r="H113" s="83"/>
    </row>
    <row r="114">
      <c r="F114" s="64"/>
      <c r="G114" s="83"/>
      <c r="H114" s="83"/>
    </row>
    <row r="115">
      <c r="F115" s="64"/>
      <c r="G115" s="83"/>
      <c r="H115" s="83"/>
    </row>
    <row r="116">
      <c r="F116" s="64"/>
      <c r="G116" s="83"/>
      <c r="H116" s="83"/>
    </row>
    <row r="117">
      <c r="F117" s="64"/>
      <c r="G117" s="83"/>
      <c r="H117" s="83"/>
    </row>
    <row r="118">
      <c r="F118" s="64"/>
      <c r="G118" s="83"/>
      <c r="H118" s="83"/>
    </row>
    <row r="119">
      <c r="F119" s="64"/>
      <c r="G119" s="83"/>
      <c r="H119" s="83"/>
    </row>
    <row r="120">
      <c r="F120" s="64"/>
      <c r="G120" s="83"/>
      <c r="H120" s="83"/>
    </row>
    <row r="121">
      <c r="F121" s="64"/>
      <c r="G121" s="83"/>
      <c r="H121" s="83"/>
    </row>
    <row r="122">
      <c r="F122" s="64"/>
      <c r="G122" s="83"/>
      <c r="H122" s="83"/>
    </row>
    <row r="123">
      <c r="F123" s="64"/>
      <c r="G123" s="83"/>
      <c r="H123" s="83"/>
    </row>
    <row r="124">
      <c r="F124" s="64"/>
      <c r="G124" s="83"/>
      <c r="H124" s="83"/>
    </row>
    <row r="125">
      <c r="F125" s="64"/>
      <c r="G125" s="83"/>
      <c r="H125" s="83"/>
    </row>
    <row r="126">
      <c r="F126" s="64"/>
      <c r="G126" s="83"/>
      <c r="H126" s="83"/>
    </row>
    <row r="127">
      <c r="F127" s="64"/>
      <c r="G127" s="83"/>
      <c r="H127" s="83"/>
    </row>
    <row r="128">
      <c r="F128" s="64"/>
      <c r="G128" s="83"/>
      <c r="H128" s="83"/>
    </row>
    <row r="129">
      <c r="F129" s="64"/>
      <c r="G129" s="83"/>
      <c r="H129" s="83"/>
    </row>
    <row r="130">
      <c r="F130" s="64"/>
      <c r="G130" s="83"/>
      <c r="H130" s="83"/>
    </row>
    <row r="131">
      <c r="F131" s="64"/>
      <c r="G131" s="83"/>
      <c r="H131" s="83"/>
    </row>
    <row r="132">
      <c r="F132" s="64"/>
      <c r="G132" s="83"/>
      <c r="H132" s="83"/>
    </row>
    <row r="133">
      <c r="F133" s="64"/>
      <c r="G133" s="83"/>
      <c r="H133" s="83"/>
    </row>
    <row r="134">
      <c r="F134" s="64"/>
      <c r="G134" s="83"/>
      <c r="H134" s="83"/>
    </row>
    <row r="135">
      <c r="F135" s="64"/>
      <c r="G135" s="83"/>
      <c r="H135" s="83"/>
    </row>
    <row r="136">
      <c r="F136" s="64"/>
      <c r="G136" s="83"/>
      <c r="H136" s="83"/>
    </row>
    <row r="137">
      <c r="F137" s="64"/>
      <c r="G137" s="83"/>
      <c r="H137" s="83"/>
    </row>
    <row r="138">
      <c r="F138" s="64"/>
      <c r="G138" s="83"/>
      <c r="H138" s="83"/>
    </row>
    <row r="139">
      <c r="F139" s="64"/>
      <c r="G139" s="83"/>
      <c r="H139" s="83"/>
    </row>
    <row r="140">
      <c r="F140" s="64"/>
      <c r="G140" s="83"/>
      <c r="H140" s="83"/>
    </row>
    <row r="141">
      <c r="F141" s="64"/>
      <c r="G141" s="83"/>
      <c r="H141" s="83"/>
    </row>
    <row r="142">
      <c r="F142" s="64"/>
      <c r="G142" s="83"/>
      <c r="H142" s="83"/>
    </row>
    <row r="143">
      <c r="F143" s="64"/>
      <c r="G143" s="83"/>
      <c r="H143" s="83"/>
    </row>
    <row r="144">
      <c r="F144" s="64"/>
      <c r="G144" s="83"/>
      <c r="H144" s="83"/>
    </row>
    <row r="145">
      <c r="F145" s="64"/>
      <c r="G145" s="83"/>
      <c r="H145" s="83"/>
    </row>
    <row r="146">
      <c r="F146" s="64"/>
      <c r="G146" s="83"/>
      <c r="H146" s="83"/>
    </row>
    <row r="147">
      <c r="F147" s="64"/>
      <c r="G147" s="83"/>
      <c r="H147" s="83"/>
    </row>
    <row r="148">
      <c r="F148" s="64"/>
      <c r="G148" s="83"/>
      <c r="H148" s="83"/>
    </row>
    <row r="149">
      <c r="F149" s="64"/>
      <c r="G149" s="83"/>
      <c r="H149" s="83"/>
    </row>
    <row r="150">
      <c r="F150" s="64"/>
      <c r="G150" s="83"/>
      <c r="H150" s="83"/>
    </row>
    <row r="151">
      <c r="F151" s="64"/>
      <c r="G151" s="83"/>
      <c r="H151" s="83"/>
    </row>
    <row r="152">
      <c r="F152" s="64"/>
      <c r="G152" s="83"/>
      <c r="H152" s="83"/>
    </row>
    <row r="153">
      <c r="F153" s="64"/>
      <c r="G153" s="83"/>
      <c r="H153" s="83"/>
    </row>
    <row r="154">
      <c r="F154" s="64"/>
      <c r="G154" s="83"/>
      <c r="H154" s="83"/>
    </row>
    <row r="155">
      <c r="F155" s="64"/>
      <c r="G155" s="83"/>
      <c r="H155" s="83"/>
    </row>
    <row r="156">
      <c r="F156" s="64"/>
      <c r="G156" s="83"/>
      <c r="H156" s="83"/>
    </row>
    <row r="157">
      <c r="F157" s="64"/>
      <c r="G157" s="83"/>
      <c r="H157" s="83"/>
    </row>
    <row r="158">
      <c r="F158" s="64"/>
      <c r="G158" s="83"/>
      <c r="H158" s="83"/>
    </row>
    <row r="159">
      <c r="F159" s="64"/>
      <c r="G159" s="83"/>
      <c r="H159" s="83"/>
    </row>
    <row r="160">
      <c r="F160" s="64"/>
      <c r="G160" s="83"/>
      <c r="H160" s="83"/>
    </row>
    <row r="161">
      <c r="F161" s="64"/>
      <c r="G161" s="83"/>
      <c r="H161" s="83"/>
    </row>
    <row r="162">
      <c r="F162" s="64"/>
      <c r="G162" s="83"/>
      <c r="H162" s="83"/>
    </row>
    <row r="163">
      <c r="F163" s="64"/>
      <c r="G163" s="83"/>
      <c r="H163" s="83"/>
    </row>
    <row r="164">
      <c r="F164" s="64"/>
      <c r="G164" s="83"/>
      <c r="H164" s="83"/>
    </row>
    <row r="165">
      <c r="F165" s="64"/>
      <c r="G165" s="83"/>
      <c r="H165" s="83"/>
    </row>
    <row r="166">
      <c r="F166" s="64"/>
      <c r="G166" s="83"/>
      <c r="H166" s="83"/>
    </row>
    <row r="167">
      <c r="F167" s="64"/>
      <c r="G167" s="83"/>
      <c r="H167" s="83"/>
    </row>
    <row r="168">
      <c r="F168" s="64"/>
      <c r="G168" s="83"/>
      <c r="H168" s="83"/>
    </row>
    <row r="169">
      <c r="F169" s="64"/>
      <c r="G169" s="83"/>
      <c r="H169" s="83"/>
    </row>
    <row r="170">
      <c r="F170" s="64"/>
      <c r="G170" s="83"/>
      <c r="H170" s="83"/>
    </row>
    <row r="171">
      <c r="F171" s="64"/>
      <c r="G171" s="83"/>
      <c r="H171" s="83"/>
    </row>
    <row r="172">
      <c r="F172" s="64"/>
      <c r="G172" s="83"/>
      <c r="H172" s="83"/>
    </row>
    <row r="173">
      <c r="F173" s="64"/>
      <c r="G173" s="83"/>
      <c r="H173" s="83"/>
    </row>
    <row r="174">
      <c r="F174" s="64"/>
      <c r="G174" s="83"/>
      <c r="H174" s="83"/>
    </row>
    <row r="175">
      <c r="F175" s="64"/>
      <c r="G175" s="83"/>
      <c r="H175" s="83"/>
    </row>
    <row r="176">
      <c r="F176" s="64"/>
      <c r="G176" s="83"/>
      <c r="H176" s="83"/>
    </row>
    <row r="177">
      <c r="F177" s="64"/>
      <c r="G177" s="83"/>
      <c r="H177" s="83"/>
    </row>
    <row r="178">
      <c r="F178" s="64"/>
      <c r="G178" s="83"/>
      <c r="H178" s="83"/>
    </row>
    <row r="179">
      <c r="F179" s="64"/>
      <c r="G179" s="83"/>
      <c r="H179" s="83"/>
    </row>
    <row r="180">
      <c r="F180" s="64"/>
      <c r="G180" s="83"/>
      <c r="H180" s="83"/>
    </row>
    <row r="181">
      <c r="F181" s="64"/>
      <c r="G181" s="83"/>
      <c r="H181" s="83"/>
    </row>
    <row r="182">
      <c r="F182" s="64"/>
      <c r="G182" s="83"/>
      <c r="H182" s="83"/>
    </row>
    <row r="183">
      <c r="F183" s="64"/>
      <c r="G183" s="83"/>
      <c r="H183" s="83"/>
    </row>
    <row r="184">
      <c r="F184" s="64"/>
      <c r="G184" s="83"/>
      <c r="H184" s="83"/>
    </row>
    <row r="185">
      <c r="F185" s="64"/>
      <c r="G185" s="83"/>
      <c r="H185" s="83"/>
    </row>
    <row r="186">
      <c r="F186" s="64"/>
      <c r="G186" s="83"/>
      <c r="H186" s="83"/>
    </row>
    <row r="187">
      <c r="F187" s="64"/>
      <c r="G187" s="83"/>
      <c r="H187" s="83"/>
    </row>
    <row r="188">
      <c r="F188" s="64"/>
      <c r="G188" s="83"/>
      <c r="H188" s="83"/>
    </row>
    <row r="189">
      <c r="F189" s="64"/>
      <c r="G189" s="83"/>
      <c r="H189" s="83"/>
    </row>
    <row r="190">
      <c r="F190" s="64"/>
      <c r="G190" s="83"/>
      <c r="H190" s="83"/>
    </row>
    <row r="191">
      <c r="F191" s="64"/>
      <c r="G191" s="83"/>
      <c r="H191" s="83"/>
    </row>
    <row r="192">
      <c r="F192" s="64"/>
      <c r="G192" s="83"/>
      <c r="H192" s="83"/>
    </row>
    <row r="193">
      <c r="F193" s="64"/>
      <c r="G193" s="83"/>
      <c r="H193" s="83"/>
    </row>
    <row r="194">
      <c r="F194" s="64"/>
      <c r="G194" s="83"/>
      <c r="H194" s="83"/>
    </row>
    <row r="195">
      <c r="F195" s="64"/>
      <c r="G195" s="83"/>
      <c r="H195" s="83"/>
    </row>
    <row r="196">
      <c r="F196" s="64"/>
      <c r="G196" s="83"/>
      <c r="H196" s="83"/>
    </row>
    <row r="197">
      <c r="F197" s="64"/>
      <c r="G197" s="83"/>
      <c r="H197" s="83"/>
    </row>
    <row r="198">
      <c r="F198" s="64"/>
      <c r="G198" s="83"/>
      <c r="H198" s="83"/>
    </row>
    <row r="199">
      <c r="F199" s="64"/>
      <c r="G199" s="83"/>
      <c r="H199" s="83"/>
    </row>
    <row r="200">
      <c r="F200" s="64"/>
      <c r="G200" s="83"/>
      <c r="H200" s="83"/>
    </row>
    <row r="201">
      <c r="F201" s="64"/>
      <c r="G201" s="83"/>
      <c r="H201" s="83"/>
    </row>
    <row r="202">
      <c r="F202" s="64"/>
      <c r="G202" s="83"/>
      <c r="H202" s="83"/>
    </row>
    <row r="203">
      <c r="F203" s="64"/>
      <c r="G203" s="83"/>
      <c r="H203" s="83"/>
    </row>
    <row r="204">
      <c r="F204" s="64"/>
      <c r="G204" s="83"/>
      <c r="H204" s="83"/>
    </row>
    <row r="205">
      <c r="F205" s="64"/>
      <c r="G205" s="83"/>
      <c r="H205" s="83"/>
    </row>
    <row r="206">
      <c r="F206" s="64"/>
      <c r="G206" s="83"/>
      <c r="H206" s="83"/>
    </row>
    <row r="207">
      <c r="F207" s="64"/>
      <c r="G207" s="83"/>
      <c r="H207" s="83"/>
    </row>
    <row r="208">
      <c r="F208" s="64"/>
      <c r="G208" s="83"/>
      <c r="H208" s="83"/>
    </row>
    <row r="209">
      <c r="F209" s="64"/>
      <c r="G209" s="83"/>
      <c r="H209" s="83"/>
    </row>
    <row r="210">
      <c r="F210" s="64"/>
      <c r="G210" s="83"/>
      <c r="H210" s="83"/>
    </row>
    <row r="211">
      <c r="F211" s="64"/>
      <c r="G211" s="83"/>
      <c r="H211" s="83"/>
    </row>
    <row r="212">
      <c r="F212" s="64"/>
      <c r="G212" s="83"/>
      <c r="H212" s="83"/>
    </row>
    <row r="213">
      <c r="F213" s="64"/>
      <c r="G213" s="83"/>
      <c r="H213" s="83"/>
    </row>
    <row r="214">
      <c r="F214" s="64"/>
      <c r="G214" s="83"/>
      <c r="H214" s="83"/>
    </row>
    <row r="215">
      <c r="F215" s="64"/>
      <c r="G215" s="83"/>
      <c r="H215" s="83"/>
    </row>
    <row r="216">
      <c r="F216" s="64"/>
      <c r="G216" s="83"/>
      <c r="H216" s="83"/>
    </row>
    <row r="217">
      <c r="F217" s="64"/>
      <c r="G217" s="83"/>
      <c r="H217" s="83"/>
    </row>
    <row r="218">
      <c r="F218" s="64"/>
      <c r="G218" s="83"/>
      <c r="H218" s="83"/>
    </row>
    <row r="219">
      <c r="F219" s="64"/>
      <c r="G219" s="83"/>
      <c r="H219" s="83"/>
    </row>
    <row r="220">
      <c r="F220" s="64"/>
      <c r="G220" s="83"/>
      <c r="H220" s="83"/>
    </row>
    <row r="221">
      <c r="F221" s="64"/>
      <c r="G221" s="83"/>
      <c r="H221" s="83"/>
    </row>
    <row r="222">
      <c r="F222" s="64"/>
      <c r="G222" s="83"/>
      <c r="H222" s="83"/>
    </row>
    <row r="223">
      <c r="F223" s="64"/>
      <c r="G223" s="83"/>
      <c r="H223" s="83"/>
    </row>
    <row r="224">
      <c r="F224" s="64"/>
      <c r="G224" s="83"/>
      <c r="H224" s="83"/>
    </row>
    <row r="225">
      <c r="F225" s="64"/>
      <c r="G225" s="83"/>
      <c r="H225" s="83"/>
    </row>
    <row r="226">
      <c r="F226" s="64"/>
      <c r="G226" s="83"/>
      <c r="H226" s="83"/>
    </row>
    <row r="227">
      <c r="F227" s="64"/>
      <c r="G227" s="83"/>
      <c r="H227" s="83"/>
    </row>
    <row r="228">
      <c r="F228" s="64"/>
      <c r="G228" s="83"/>
      <c r="H228" s="83"/>
    </row>
    <row r="229">
      <c r="F229" s="64"/>
      <c r="G229" s="83"/>
      <c r="H229" s="83"/>
    </row>
    <row r="230">
      <c r="F230" s="64"/>
      <c r="G230" s="83"/>
      <c r="H230" s="83"/>
    </row>
    <row r="231">
      <c r="F231" s="64"/>
      <c r="G231" s="83"/>
      <c r="H231" s="83"/>
    </row>
    <row r="232">
      <c r="F232" s="64"/>
      <c r="G232" s="83"/>
      <c r="H232" s="83"/>
    </row>
    <row r="233">
      <c r="F233" s="64"/>
      <c r="G233" s="83"/>
      <c r="H233" s="83"/>
    </row>
    <row r="234">
      <c r="F234" s="64"/>
      <c r="G234" s="83"/>
      <c r="H234" s="83"/>
    </row>
    <row r="235">
      <c r="F235" s="64"/>
      <c r="G235" s="83"/>
      <c r="H235" s="83"/>
    </row>
    <row r="236">
      <c r="F236" s="64"/>
      <c r="G236" s="83"/>
      <c r="H236" s="83"/>
    </row>
    <row r="237">
      <c r="F237" s="64"/>
      <c r="G237" s="83"/>
      <c r="H237" s="83"/>
    </row>
    <row r="238">
      <c r="F238" s="64"/>
      <c r="G238" s="83"/>
      <c r="H238" s="83"/>
    </row>
    <row r="239">
      <c r="F239" s="64"/>
      <c r="G239" s="83"/>
      <c r="H239" s="83"/>
    </row>
    <row r="240">
      <c r="F240" s="64"/>
      <c r="G240" s="83"/>
      <c r="H240" s="83"/>
    </row>
    <row r="241">
      <c r="F241" s="64"/>
      <c r="G241" s="83"/>
      <c r="H241" s="83"/>
    </row>
    <row r="242">
      <c r="F242" s="64"/>
      <c r="G242" s="83"/>
      <c r="H242" s="83"/>
    </row>
    <row r="243">
      <c r="F243" s="64"/>
      <c r="G243" s="83"/>
      <c r="H243" s="83"/>
    </row>
    <row r="244">
      <c r="F244" s="64"/>
      <c r="G244" s="83"/>
      <c r="H244" s="83"/>
    </row>
    <row r="245">
      <c r="F245" s="64"/>
      <c r="G245" s="83"/>
      <c r="H245" s="83"/>
    </row>
    <row r="246">
      <c r="F246" s="64"/>
      <c r="G246" s="83"/>
      <c r="H246" s="83"/>
    </row>
    <row r="247">
      <c r="F247" s="64"/>
      <c r="G247" s="83"/>
      <c r="H247" s="83"/>
    </row>
    <row r="248">
      <c r="F248" s="64"/>
      <c r="G248" s="83"/>
      <c r="H248" s="83"/>
    </row>
    <row r="249">
      <c r="F249" s="64"/>
      <c r="G249" s="83"/>
      <c r="H249" s="83"/>
    </row>
    <row r="250">
      <c r="F250" s="64"/>
      <c r="G250" s="83"/>
      <c r="H250" s="83"/>
    </row>
    <row r="251">
      <c r="F251" s="64"/>
      <c r="G251" s="83"/>
      <c r="H251" s="83"/>
    </row>
    <row r="252">
      <c r="F252" s="64"/>
      <c r="G252" s="83"/>
      <c r="H252" s="83"/>
    </row>
    <row r="253">
      <c r="F253" s="64"/>
      <c r="G253" s="83"/>
      <c r="H253" s="83"/>
    </row>
    <row r="254">
      <c r="F254" s="64"/>
      <c r="G254" s="83"/>
      <c r="H254" s="83"/>
    </row>
    <row r="255">
      <c r="F255" s="64"/>
      <c r="G255" s="83"/>
      <c r="H255" s="83"/>
    </row>
    <row r="256">
      <c r="F256" s="64"/>
      <c r="G256" s="83"/>
      <c r="H256" s="83"/>
    </row>
    <row r="257">
      <c r="F257" s="64"/>
      <c r="G257" s="83"/>
      <c r="H257" s="83"/>
    </row>
    <row r="258">
      <c r="F258" s="64"/>
      <c r="G258" s="83"/>
      <c r="H258" s="83"/>
    </row>
    <row r="259">
      <c r="F259" s="64"/>
      <c r="G259" s="83"/>
      <c r="H259" s="83"/>
    </row>
    <row r="260">
      <c r="F260" s="64"/>
      <c r="G260" s="83"/>
      <c r="H260" s="83"/>
    </row>
    <row r="261">
      <c r="F261" s="64"/>
      <c r="G261" s="83"/>
      <c r="H261" s="83"/>
    </row>
    <row r="262">
      <c r="F262" s="64"/>
      <c r="G262" s="83"/>
      <c r="H262" s="83"/>
    </row>
    <row r="263">
      <c r="F263" s="64"/>
      <c r="G263" s="83"/>
      <c r="H263" s="83"/>
    </row>
    <row r="264">
      <c r="F264" s="64"/>
      <c r="G264" s="83"/>
      <c r="H264" s="83"/>
    </row>
    <row r="265">
      <c r="F265" s="64"/>
      <c r="G265" s="83"/>
      <c r="H265" s="83"/>
    </row>
    <row r="266">
      <c r="F266" s="64"/>
      <c r="G266" s="83"/>
      <c r="H266" s="83"/>
    </row>
    <row r="267">
      <c r="F267" s="64"/>
      <c r="G267" s="83"/>
      <c r="H267" s="83"/>
    </row>
    <row r="268">
      <c r="F268" s="64"/>
      <c r="G268" s="83"/>
      <c r="H268" s="83"/>
    </row>
    <row r="269">
      <c r="F269" s="64"/>
      <c r="G269" s="83"/>
      <c r="H269" s="83"/>
    </row>
    <row r="270">
      <c r="F270" s="64"/>
      <c r="G270" s="83"/>
      <c r="H270" s="83"/>
    </row>
    <row r="271">
      <c r="F271" s="64"/>
      <c r="G271" s="83"/>
      <c r="H271" s="83"/>
    </row>
    <row r="272">
      <c r="F272" s="64"/>
      <c r="G272" s="83"/>
      <c r="H272" s="83"/>
    </row>
    <row r="273">
      <c r="F273" s="64"/>
      <c r="G273" s="83"/>
      <c r="H273" s="83"/>
    </row>
    <row r="274">
      <c r="F274" s="64"/>
      <c r="G274" s="83"/>
      <c r="H274" s="83"/>
    </row>
    <row r="275">
      <c r="F275" s="64"/>
      <c r="G275" s="83"/>
      <c r="H275" s="83"/>
    </row>
    <row r="276">
      <c r="F276" s="64"/>
      <c r="G276" s="83"/>
      <c r="H276" s="83"/>
    </row>
    <row r="277">
      <c r="F277" s="64"/>
      <c r="G277" s="83"/>
      <c r="H277" s="83"/>
    </row>
    <row r="278">
      <c r="F278" s="64"/>
      <c r="G278" s="83"/>
      <c r="H278" s="83"/>
    </row>
    <row r="279">
      <c r="F279" s="64"/>
      <c r="G279" s="83"/>
      <c r="H279" s="83"/>
    </row>
    <row r="280">
      <c r="F280" s="64"/>
      <c r="G280" s="83"/>
      <c r="H280" s="83"/>
    </row>
    <row r="281">
      <c r="F281" s="64"/>
      <c r="G281" s="83"/>
      <c r="H281" s="83"/>
    </row>
    <row r="282">
      <c r="F282" s="64"/>
      <c r="G282" s="83"/>
      <c r="H282" s="83"/>
    </row>
    <row r="283">
      <c r="F283" s="64"/>
      <c r="G283" s="83"/>
      <c r="H283" s="83"/>
    </row>
    <row r="284">
      <c r="F284" s="64"/>
      <c r="G284" s="83"/>
      <c r="H284" s="83"/>
    </row>
    <row r="285">
      <c r="F285" s="64"/>
      <c r="G285" s="83"/>
      <c r="H285" s="83"/>
    </row>
    <row r="286">
      <c r="F286" s="64"/>
      <c r="G286" s="83"/>
      <c r="H286" s="83"/>
    </row>
    <row r="287">
      <c r="F287" s="64"/>
      <c r="G287" s="83"/>
      <c r="H287" s="83"/>
    </row>
    <row r="288">
      <c r="F288" s="64"/>
      <c r="G288" s="83"/>
      <c r="H288" s="83"/>
    </row>
    <row r="289">
      <c r="F289" s="64"/>
      <c r="G289" s="83"/>
      <c r="H289" s="83"/>
    </row>
    <row r="290">
      <c r="F290" s="64"/>
      <c r="G290" s="83"/>
      <c r="H290" s="83"/>
    </row>
    <row r="291">
      <c r="F291" s="64"/>
      <c r="G291" s="83"/>
      <c r="H291" s="83"/>
    </row>
    <row r="292">
      <c r="F292" s="64"/>
      <c r="G292" s="83"/>
      <c r="H292" s="83"/>
    </row>
    <row r="293">
      <c r="F293" s="64"/>
      <c r="G293" s="83"/>
      <c r="H293" s="83"/>
    </row>
    <row r="294">
      <c r="F294" s="64"/>
      <c r="G294" s="83"/>
      <c r="H294" s="83"/>
    </row>
    <row r="295">
      <c r="F295" s="64"/>
      <c r="G295" s="83"/>
      <c r="H295" s="83"/>
    </row>
    <row r="296">
      <c r="F296" s="64"/>
      <c r="G296" s="83"/>
      <c r="H296" s="83"/>
    </row>
    <row r="297">
      <c r="F297" s="64"/>
      <c r="G297" s="83"/>
      <c r="H297" s="83"/>
    </row>
    <row r="298">
      <c r="F298" s="64"/>
      <c r="G298" s="83"/>
      <c r="H298" s="83"/>
    </row>
    <row r="299">
      <c r="F299" s="64"/>
      <c r="G299" s="83"/>
      <c r="H299" s="83"/>
    </row>
    <row r="300">
      <c r="F300" s="64"/>
      <c r="G300" s="83"/>
      <c r="H300" s="83"/>
    </row>
    <row r="301">
      <c r="F301" s="64"/>
      <c r="G301" s="83"/>
      <c r="H301" s="83"/>
    </row>
    <row r="302">
      <c r="F302" s="64"/>
      <c r="G302" s="83"/>
      <c r="H302" s="83"/>
    </row>
    <row r="303">
      <c r="F303" s="64"/>
      <c r="G303" s="83"/>
      <c r="H303" s="83"/>
    </row>
    <row r="304">
      <c r="F304" s="64"/>
      <c r="G304" s="83"/>
      <c r="H304" s="83"/>
    </row>
    <row r="305">
      <c r="F305" s="64"/>
      <c r="G305" s="83"/>
      <c r="H305" s="83"/>
    </row>
    <row r="306">
      <c r="F306" s="64"/>
      <c r="G306" s="83"/>
      <c r="H306" s="83"/>
    </row>
    <row r="307">
      <c r="F307" s="64"/>
      <c r="G307" s="83"/>
      <c r="H307" s="83"/>
    </row>
    <row r="308">
      <c r="F308" s="64"/>
      <c r="G308" s="83"/>
      <c r="H308" s="83"/>
    </row>
    <row r="309">
      <c r="F309" s="64"/>
      <c r="G309" s="83"/>
      <c r="H309" s="83"/>
    </row>
    <row r="310">
      <c r="F310" s="64"/>
      <c r="G310" s="83"/>
      <c r="H310" s="83"/>
    </row>
    <row r="311">
      <c r="F311" s="64"/>
      <c r="G311" s="83"/>
      <c r="H311" s="83"/>
    </row>
    <row r="312">
      <c r="F312" s="64"/>
      <c r="G312" s="83"/>
      <c r="H312" s="83"/>
    </row>
    <row r="313">
      <c r="F313" s="64"/>
      <c r="G313" s="83"/>
      <c r="H313" s="83"/>
    </row>
    <row r="314">
      <c r="F314" s="64"/>
      <c r="G314" s="83"/>
      <c r="H314" s="83"/>
    </row>
    <row r="315">
      <c r="F315" s="64"/>
      <c r="G315" s="83"/>
      <c r="H315" s="83"/>
    </row>
    <row r="316">
      <c r="F316" s="64"/>
      <c r="G316" s="83"/>
      <c r="H316" s="83"/>
    </row>
    <row r="317">
      <c r="F317" s="64"/>
      <c r="G317" s="83"/>
      <c r="H317" s="83"/>
    </row>
    <row r="318">
      <c r="F318" s="64"/>
      <c r="G318" s="83"/>
      <c r="H318" s="83"/>
    </row>
    <row r="319">
      <c r="F319" s="64"/>
      <c r="G319" s="83"/>
      <c r="H319" s="83"/>
    </row>
    <row r="320">
      <c r="F320" s="64"/>
      <c r="G320" s="83"/>
      <c r="H320" s="83"/>
    </row>
    <row r="321">
      <c r="F321" s="64"/>
      <c r="G321" s="83"/>
      <c r="H321" s="83"/>
    </row>
    <row r="322">
      <c r="F322" s="64"/>
      <c r="G322" s="83"/>
      <c r="H322" s="83"/>
    </row>
    <row r="323">
      <c r="F323" s="64"/>
      <c r="G323" s="83"/>
      <c r="H323" s="83"/>
    </row>
    <row r="324">
      <c r="F324" s="64"/>
      <c r="G324" s="83"/>
      <c r="H324" s="83"/>
    </row>
    <row r="325">
      <c r="F325" s="64"/>
      <c r="G325" s="83"/>
      <c r="H325" s="83"/>
    </row>
    <row r="326">
      <c r="F326" s="64"/>
      <c r="G326" s="83"/>
      <c r="H326" s="83"/>
    </row>
    <row r="327">
      <c r="F327" s="64"/>
      <c r="G327" s="83"/>
      <c r="H327" s="83"/>
    </row>
    <row r="328">
      <c r="F328" s="64"/>
      <c r="G328" s="83"/>
      <c r="H328" s="83"/>
    </row>
    <row r="329">
      <c r="F329" s="64"/>
      <c r="G329" s="83"/>
      <c r="H329" s="83"/>
    </row>
    <row r="330">
      <c r="F330" s="64"/>
      <c r="G330" s="83"/>
      <c r="H330" s="83"/>
    </row>
    <row r="331">
      <c r="F331" s="64"/>
      <c r="G331" s="83"/>
      <c r="H331" s="83"/>
    </row>
    <row r="332">
      <c r="F332" s="64"/>
      <c r="G332" s="83"/>
      <c r="H332" s="83"/>
    </row>
    <row r="333">
      <c r="F333" s="64"/>
      <c r="G333" s="83"/>
      <c r="H333" s="83"/>
    </row>
    <row r="334">
      <c r="F334" s="64"/>
      <c r="G334" s="83"/>
      <c r="H334" s="83"/>
    </row>
    <row r="335">
      <c r="F335" s="64"/>
      <c r="G335" s="83"/>
      <c r="H335" s="83"/>
    </row>
    <row r="336">
      <c r="F336" s="64"/>
      <c r="G336" s="83"/>
      <c r="H336" s="83"/>
    </row>
    <row r="337">
      <c r="F337" s="64"/>
      <c r="G337" s="83"/>
      <c r="H337" s="83"/>
    </row>
    <row r="338">
      <c r="F338" s="64"/>
      <c r="G338" s="83"/>
      <c r="H338" s="83"/>
    </row>
    <row r="339">
      <c r="F339" s="64"/>
      <c r="G339" s="83"/>
      <c r="H339" s="83"/>
    </row>
    <row r="340">
      <c r="F340" s="64"/>
      <c r="G340" s="83"/>
      <c r="H340" s="83"/>
    </row>
    <row r="341">
      <c r="F341" s="64"/>
      <c r="G341" s="83"/>
      <c r="H341" s="83"/>
    </row>
    <row r="342">
      <c r="F342" s="64"/>
      <c r="G342" s="83"/>
      <c r="H342" s="83"/>
    </row>
    <row r="343">
      <c r="F343" s="64"/>
      <c r="G343" s="83"/>
      <c r="H343" s="83"/>
    </row>
    <row r="344">
      <c r="F344" s="64"/>
      <c r="G344" s="83"/>
      <c r="H344" s="83"/>
    </row>
    <row r="345">
      <c r="F345" s="64"/>
      <c r="G345" s="83"/>
      <c r="H345" s="83"/>
    </row>
    <row r="346">
      <c r="F346" s="64"/>
      <c r="G346" s="83"/>
      <c r="H346" s="83"/>
    </row>
    <row r="347">
      <c r="F347" s="64"/>
      <c r="G347" s="83"/>
      <c r="H347" s="83"/>
    </row>
    <row r="348">
      <c r="F348" s="64"/>
      <c r="G348" s="83"/>
      <c r="H348" s="83"/>
    </row>
    <row r="349">
      <c r="F349" s="64"/>
      <c r="G349" s="83"/>
      <c r="H349" s="83"/>
    </row>
    <row r="350">
      <c r="F350" s="64"/>
      <c r="G350" s="83"/>
      <c r="H350" s="83"/>
    </row>
    <row r="351">
      <c r="F351" s="64"/>
      <c r="G351" s="83"/>
      <c r="H351" s="83"/>
    </row>
    <row r="352">
      <c r="F352" s="64"/>
      <c r="G352" s="83"/>
      <c r="H352" s="83"/>
    </row>
    <row r="353">
      <c r="F353" s="64"/>
      <c r="G353" s="83"/>
      <c r="H353" s="83"/>
    </row>
    <row r="354">
      <c r="F354" s="64"/>
      <c r="G354" s="83"/>
      <c r="H354" s="83"/>
    </row>
    <row r="355">
      <c r="F355" s="64"/>
      <c r="G355" s="83"/>
      <c r="H355" s="83"/>
    </row>
    <row r="356">
      <c r="F356" s="64"/>
      <c r="G356" s="83"/>
      <c r="H356" s="83"/>
    </row>
    <row r="357">
      <c r="F357" s="64"/>
      <c r="G357" s="83"/>
      <c r="H357" s="83"/>
    </row>
    <row r="358">
      <c r="F358" s="64"/>
      <c r="G358" s="83"/>
      <c r="H358" s="83"/>
    </row>
    <row r="359">
      <c r="F359" s="64"/>
      <c r="G359" s="83"/>
      <c r="H359" s="83"/>
    </row>
    <row r="360">
      <c r="F360" s="64"/>
      <c r="G360" s="83"/>
      <c r="H360" s="83"/>
    </row>
    <row r="361">
      <c r="F361" s="64"/>
      <c r="G361" s="83"/>
      <c r="H361" s="83"/>
    </row>
    <row r="362">
      <c r="F362" s="64"/>
      <c r="G362" s="83"/>
      <c r="H362" s="83"/>
    </row>
    <row r="363">
      <c r="F363" s="64"/>
      <c r="G363" s="83"/>
      <c r="H363" s="83"/>
    </row>
    <row r="364">
      <c r="F364" s="64"/>
      <c r="G364" s="83"/>
      <c r="H364" s="83"/>
    </row>
    <row r="365">
      <c r="F365" s="64"/>
      <c r="G365" s="83"/>
      <c r="H365" s="83"/>
    </row>
    <row r="366">
      <c r="F366" s="64"/>
      <c r="G366" s="83"/>
      <c r="H366" s="83"/>
    </row>
    <row r="367">
      <c r="F367" s="64"/>
      <c r="G367" s="83"/>
      <c r="H367" s="83"/>
    </row>
    <row r="368">
      <c r="F368" s="64"/>
      <c r="G368" s="83"/>
      <c r="H368" s="83"/>
    </row>
    <row r="369">
      <c r="F369" s="64"/>
      <c r="G369" s="83"/>
      <c r="H369" s="83"/>
    </row>
    <row r="370">
      <c r="F370" s="64"/>
      <c r="G370" s="83"/>
      <c r="H370" s="83"/>
    </row>
    <row r="371">
      <c r="F371" s="64"/>
      <c r="G371" s="83"/>
      <c r="H371" s="83"/>
    </row>
    <row r="372">
      <c r="F372" s="64"/>
      <c r="G372" s="83"/>
      <c r="H372" s="83"/>
    </row>
    <row r="373">
      <c r="F373" s="64"/>
      <c r="G373" s="83"/>
      <c r="H373" s="83"/>
    </row>
    <row r="374">
      <c r="F374" s="64"/>
      <c r="G374" s="83"/>
      <c r="H374" s="83"/>
    </row>
    <row r="375">
      <c r="F375" s="64"/>
      <c r="G375" s="83"/>
      <c r="H375" s="83"/>
    </row>
    <row r="376">
      <c r="F376" s="64"/>
      <c r="G376" s="83"/>
      <c r="H376" s="83"/>
    </row>
    <row r="377">
      <c r="F377" s="64"/>
      <c r="G377" s="83"/>
      <c r="H377" s="83"/>
    </row>
    <row r="378">
      <c r="F378" s="64"/>
      <c r="G378" s="83"/>
      <c r="H378" s="83"/>
    </row>
    <row r="379">
      <c r="F379" s="64"/>
      <c r="G379" s="83"/>
      <c r="H379" s="83"/>
    </row>
    <row r="380">
      <c r="F380" s="64"/>
      <c r="G380" s="83"/>
      <c r="H380" s="83"/>
    </row>
    <row r="381">
      <c r="F381" s="64"/>
      <c r="G381" s="83"/>
      <c r="H381" s="83"/>
    </row>
    <row r="382">
      <c r="F382" s="64"/>
      <c r="G382" s="83"/>
      <c r="H382" s="83"/>
    </row>
    <row r="383">
      <c r="F383" s="64"/>
      <c r="G383" s="83"/>
      <c r="H383" s="83"/>
    </row>
    <row r="384">
      <c r="F384" s="64"/>
      <c r="G384" s="83"/>
      <c r="H384" s="83"/>
    </row>
    <row r="385">
      <c r="F385" s="64"/>
      <c r="G385" s="83"/>
      <c r="H385" s="83"/>
    </row>
    <row r="386">
      <c r="F386" s="64"/>
      <c r="G386" s="83"/>
      <c r="H386" s="83"/>
    </row>
    <row r="387">
      <c r="F387" s="64"/>
      <c r="G387" s="83"/>
      <c r="H387" s="83"/>
    </row>
    <row r="388">
      <c r="F388" s="64"/>
      <c r="G388" s="83"/>
      <c r="H388" s="83"/>
    </row>
    <row r="389">
      <c r="F389" s="64"/>
      <c r="G389" s="83"/>
      <c r="H389" s="83"/>
    </row>
    <row r="390">
      <c r="F390" s="64"/>
      <c r="G390" s="83"/>
      <c r="H390" s="83"/>
    </row>
    <row r="391">
      <c r="F391" s="64"/>
      <c r="G391" s="83"/>
      <c r="H391" s="83"/>
    </row>
    <row r="392">
      <c r="F392" s="64"/>
      <c r="G392" s="83"/>
      <c r="H392" s="83"/>
    </row>
    <row r="393">
      <c r="F393" s="64"/>
      <c r="G393" s="83"/>
      <c r="H393" s="83"/>
    </row>
    <row r="394">
      <c r="F394" s="64"/>
      <c r="G394" s="83"/>
      <c r="H394" s="83"/>
    </row>
    <row r="395">
      <c r="F395" s="64"/>
      <c r="G395" s="83"/>
      <c r="H395" s="83"/>
    </row>
    <row r="396">
      <c r="F396" s="64"/>
      <c r="G396" s="83"/>
      <c r="H396" s="83"/>
    </row>
    <row r="397">
      <c r="F397" s="64"/>
      <c r="G397" s="83"/>
      <c r="H397" s="83"/>
    </row>
    <row r="398">
      <c r="F398" s="64"/>
      <c r="G398" s="83"/>
      <c r="H398" s="83"/>
    </row>
    <row r="399">
      <c r="F399" s="64"/>
      <c r="G399" s="83"/>
      <c r="H399" s="83"/>
    </row>
    <row r="400">
      <c r="F400" s="64"/>
      <c r="G400" s="83"/>
      <c r="H400" s="83"/>
    </row>
    <row r="401">
      <c r="F401" s="64"/>
      <c r="G401" s="83"/>
      <c r="H401" s="83"/>
    </row>
    <row r="402">
      <c r="F402" s="64"/>
      <c r="G402" s="83"/>
      <c r="H402" s="83"/>
    </row>
    <row r="403">
      <c r="F403" s="64"/>
      <c r="G403" s="83"/>
      <c r="H403" s="83"/>
    </row>
    <row r="404">
      <c r="F404" s="64"/>
      <c r="G404" s="83"/>
      <c r="H404" s="83"/>
    </row>
    <row r="405">
      <c r="F405" s="64"/>
      <c r="G405" s="83"/>
      <c r="H405" s="83"/>
    </row>
    <row r="406">
      <c r="F406" s="64"/>
      <c r="G406" s="83"/>
      <c r="H406" s="83"/>
    </row>
    <row r="407">
      <c r="F407" s="64"/>
      <c r="G407" s="83"/>
      <c r="H407" s="83"/>
    </row>
    <row r="408">
      <c r="F408" s="64"/>
      <c r="G408" s="83"/>
      <c r="H408" s="83"/>
    </row>
    <row r="409">
      <c r="F409" s="64"/>
      <c r="G409" s="83"/>
      <c r="H409" s="83"/>
    </row>
    <row r="410">
      <c r="F410" s="64"/>
      <c r="G410" s="83"/>
      <c r="H410" s="83"/>
    </row>
    <row r="411">
      <c r="F411" s="64"/>
      <c r="G411" s="83"/>
      <c r="H411" s="83"/>
    </row>
    <row r="412">
      <c r="F412" s="64"/>
      <c r="G412" s="83"/>
      <c r="H412" s="83"/>
    </row>
    <row r="413">
      <c r="F413" s="64"/>
      <c r="G413" s="83"/>
      <c r="H413" s="83"/>
    </row>
    <row r="414">
      <c r="F414" s="64"/>
      <c r="G414" s="83"/>
      <c r="H414" s="83"/>
    </row>
    <row r="415">
      <c r="F415" s="64"/>
      <c r="G415" s="83"/>
      <c r="H415" s="83"/>
    </row>
    <row r="416">
      <c r="F416" s="64"/>
      <c r="G416" s="83"/>
      <c r="H416" s="83"/>
    </row>
    <row r="417">
      <c r="F417" s="64"/>
      <c r="G417" s="83"/>
      <c r="H417" s="83"/>
    </row>
    <row r="418">
      <c r="F418" s="64"/>
      <c r="G418" s="83"/>
      <c r="H418" s="83"/>
    </row>
    <row r="419">
      <c r="F419" s="64"/>
      <c r="G419" s="83"/>
      <c r="H419" s="83"/>
    </row>
    <row r="420">
      <c r="F420" s="64"/>
      <c r="G420" s="83"/>
      <c r="H420" s="83"/>
    </row>
    <row r="421">
      <c r="F421" s="64"/>
      <c r="G421" s="83"/>
      <c r="H421" s="83"/>
    </row>
    <row r="422">
      <c r="F422" s="64"/>
      <c r="G422" s="83"/>
      <c r="H422" s="83"/>
    </row>
    <row r="423">
      <c r="F423" s="64"/>
      <c r="G423" s="83"/>
      <c r="H423" s="83"/>
    </row>
    <row r="424">
      <c r="F424" s="64"/>
      <c r="G424" s="83"/>
      <c r="H424" s="83"/>
    </row>
    <row r="425">
      <c r="F425" s="64"/>
      <c r="G425" s="83"/>
      <c r="H425" s="83"/>
    </row>
    <row r="426">
      <c r="F426" s="64"/>
      <c r="G426" s="83"/>
      <c r="H426" s="83"/>
    </row>
    <row r="427">
      <c r="F427" s="64"/>
      <c r="G427" s="83"/>
      <c r="H427" s="83"/>
    </row>
    <row r="428">
      <c r="F428" s="64"/>
      <c r="G428" s="83"/>
      <c r="H428" s="83"/>
    </row>
    <row r="429">
      <c r="F429" s="64"/>
      <c r="G429" s="83"/>
      <c r="H429" s="83"/>
    </row>
    <row r="430">
      <c r="F430" s="64"/>
      <c r="G430" s="83"/>
      <c r="H430" s="83"/>
    </row>
    <row r="431">
      <c r="F431" s="64"/>
      <c r="G431" s="83"/>
      <c r="H431" s="83"/>
    </row>
    <row r="432">
      <c r="F432" s="64"/>
      <c r="G432" s="83"/>
      <c r="H432" s="83"/>
    </row>
    <row r="433">
      <c r="F433" s="64"/>
      <c r="G433" s="83"/>
      <c r="H433" s="83"/>
    </row>
    <row r="434">
      <c r="F434" s="64"/>
      <c r="G434" s="83"/>
      <c r="H434" s="83"/>
    </row>
    <row r="435">
      <c r="F435" s="64"/>
      <c r="G435" s="83"/>
      <c r="H435" s="83"/>
    </row>
    <row r="436">
      <c r="F436" s="64"/>
      <c r="G436" s="83"/>
      <c r="H436" s="83"/>
    </row>
    <row r="437">
      <c r="F437" s="64"/>
      <c r="G437" s="83"/>
      <c r="H437" s="83"/>
    </row>
    <row r="438">
      <c r="F438" s="64"/>
      <c r="G438" s="83"/>
      <c r="H438" s="83"/>
    </row>
    <row r="439">
      <c r="F439" s="64"/>
      <c r="G439" s="83"/>
      <c r="H439" s="83"/>
    </row>
    <row r="440">
      <c r="F440" s="64"/>
      <c r="G440" s="83"/>
      <c r="H440" s="83"/>
    </row>
    <row r="441">
      <c r="F441" s="64"/>
      <c r="G441" s="83"/>
      <c r="H441" s="83"/>
    </row>
    <row r="442">
      <c r="F442" s="64"/>
      <c r="G442" s="83"/>
      <c r="H442" s="83"/>
    </row>
    <row r="443">
      <c r="F443" s="64"/>
      <c r="G443" s="83"/>
      <c r="H443" s="83"/>
    </row>
    <row r="444">
      <c r="F444" s="64"/>
      <c r="G444" s="83"/>
      <c r="H444" s="83"/>
    </row>
    <row r="445">
      <c r="F445" s="64"/>
      <c r="G445" s="83"/>
      <c r="H445" s="83"/>
    </row>
    <row r="446">
      <c r="F446" s="64"/>
      <c r="G446" s="83"/>
      <c r="H446" s="83"/>
    </row>
    <row r="447">
      <c r="F447" s="64"/>
      <c r="G447" s="83"/>
      <c r="H447" s="83"/>
    </row>
    <row r="448">
      <c r="F448" s="64"/>
      <c r="G448" s="83"/>
      <c r="H448" s="83"/>
    </row>
    <row r="449">
      <c r="F449" s="64"/>
      <c r="G449" s="83"/>
      <c r="H449" s="83"/>
    </row>
    <row r="450">
      <c r="F450" s="64"/>
      <c r="G450" s="83"/>
      <c r="H450" s="83"/>
    </row>
    <row r="451">
      <c r="F451" s="64"/>
      <c r="G451" s="83"/>
      <c r="H451" s="83"/>
    </row>
    <row r="452">
      <c r="F452" s="64"/>
      <c r="G452" s="83"/>
      <c r="H452" s="83"/>
    </row>
    <row r="453">
      <c r="F453" s="64"/>
      <c r="G453" s="83"/>
      <c r="H453" s="83"/>
    </row>
    <row r="454">
      <c r="F454" s="64"/>
      <c r="G454" s="83"/>
      <c r="H454" s="83"/>
    </row>
    <row r="455">
      <c r="F455" s="64"/>
      <c r="G455" s="83"/>
      <c r="H455" s="83"/>
    </row>
    <row r="456">
      <c r="F456" s="64"/>
      <c r="G456" s="83"/>
      <c r="H456" s="83"/>
    </row>
    <row r="457">
      <c r="F457" s="64"/>
      <c r="G457" s="83"/>
      <c r="H457" s="83"/>
    </row>
    <row r="458">
      <c r="F458" s="64"/>
      <c r="G458" s="83"/>
      <c r="H458" s="83"/>
    </row>
    <row r="459">
      <c r="F459" s="64"/>
      <c r="G459" s="83"/>
      <c r="H459" s="83"/>
    </row>
    <row r="460">
      <c r="F460" s="64"/>
      <c r="G460" s="83"/>
      <c r="H460" s="83"/>
    </row>
    <row r="461">
      <c r="F461" s="64"/>
      <c r="G461" s="83"/>
      <c r="H461" s="83"/>
    </row>
    <row r="462">
      <c r="F462" s="64"/>
      <c r="G462" s="83"/>
      <c r="H462" s="83"/>
    </row>
    <row r="463">
      <c r="F463" s="64"/>
      <c r="G463" s="83"/>
      <c r="H463" s="83"/>
    </row>
    <row r="464">
      <c r="F464" s="64"/>
      <c r="G464" s="83"/>
      <c r="H464" s="83"/>
    </row>
    <row r="465">
      <c r="F465" s="64"/>
      <c r="G465" s="83"/>
      <c r="H465" s="83"/>
    </row>
    <row r="466">
      <c r="F466" s="64"/>
      <c r="G466" s="83"/>
      <c r="H466" s="83"/>
    </row>
    <row r="467">
      <c r="F467" s="64"/>
      <c r="G467" s="83"/>
      <c r="H467" s="83"/>
    </row>
    <row r="468">
      <c r="F468" s="64"/>
      <c r="G468" s="83"/>
      <c r="H468" s="83"/>
    </row>
    <row r="469">
      <c r="F469" s="64"/>
      <c r="G469" s="83"/>
      <c r="H469" s="83"/>
    </row>
    <row r="470">
      <c r="F470" s="64"/>
      <c r="G470" s="83"/>
      <c r="H470" s="83"/>
    </row>
    <row r="471">
      <c r="F471" s="64"/>
      <c r="G471" s="83"/>
      <c r="H471" s="83"/>
    </row>
    <row r="472">
      <c r="F472" s="64"/>
      <c r="G472" s="83"/>
      <c r="H472" s="83"/>
    </row>
    <row r="473">
      <c r="F473" s="64"/>
      <c r="G473" s="83"/>
      <c r="H473" s="83"/>
    </row>
    <row r="474">
      <c r="F474" s="64"/>
      <c r="G474" s="83"/>
      <c r="H474" s="83"/>
    </row>
    <row r="475">
      <c r="F475" s="64"/>
      <c r="G475" s="83"/>
      <c r="H475" s="83"/>
    </row>
    <row r="476">
      <c r="F476" s="64"/>
      <c r="G476" s="83"/>
      <c r="H476" s="83"/>
    </row>
    <row r="477">
      <c r="F477" s="64"/>
      <c r="G477" s="83"/>
      <c r="H477" s="83"/>
    </row>
    <row r="478">
      <c r="F478" s="64"/>
      <c r="G478" s="83"/>
      <c r="H478" s="83"/>
    </row>
    <row r="479">
      <c r="F479" s="64"/>
      <c r="G479" s="83"/>
      <c r="H479" s="83"/>
    </row>
    <row r="480">
      <c r="F480" s="64"/>
      <c r="G480" s="83"/>
      <c r="H480" s="83"/>
    </row>
    <row r="481">
      <c r="F481" s="64"/>
      <c r="G481" s="83"/>
      <c r="H481" s="83"/>
    </row>
    <row r="482">
      <c r="F482" s="64"/>
      <c r="G482" s="83"/>
      <c r="H482" s="83"/>
    </row>
    <row r="483">
      <c r="F483" s="64"/>
      <c r="G483" s="83"/>
      <c r="H483" s="83"/>
    </row>
    <row r="484">
      <c r="F484" s="64"/>
      <c r="G484" s="83"/>
      <c r="H484" s="83"/>
    </row>
    <row r="485">
      <c r="F485" s="64"/>
      <c r="G485" s="83"/>
      <c r="H485" s="83"/>
    </row>
    <row r="486">
      <c r="F486" s="64"/>
      <c r="G486" s="83"/>
      <c r="H486" s="83"/>
    </row>
    <row r="487">
      <c r="F487" s="64"/>
      <c r="G487" s="83"/>
      <c r="H487" s="83"/>
    </row>
    <row r="488">
      <c r="F488" s="64"/>
      <c r="G488" s="83"/>
      <c r="H488" s="83"/>
    </row>
    <row r="489">
      <c r="F489" s="64"/>
      <c r="G489" s="83"/>
      <c r="H489" s="83"/>
    </row>
    <row r="490">
      <c r="F490" s="64"/>
      <c r="G490" s="83"/>
      <c r="H490" s="83"/>
    </row>
    <row r="491">
      <c r="F491" s="64"/>
      <c r="G491" s="83"/>
      <c r="H491" s="83"/>
    </row>
    <row r="492">
      <c r="F492" s="64"/>
      <c r="G492" s="83"/>
      <c r="H492" s="83"/>
    </row>
    <row r="493">
      <c r="F493" s="64"/>
      <c r="G493" s="83"/>
      <c r="H493" s="83"/>
    </row>
    <row r="494">
      <c r="F494" s="64"/>
      <c r="G494" s="83"/>
      <c r="H494" s="83"/>
    </row>
    <row r="495">
      <c r="F495" s="64"/>
      <c r="G495" s="83"/>
      <c r="H495" s="83"/>
    </row>
    <row r="496">
      <c r="F496" s="64"/>
      <c r="G496" s="83"/>
      <c r="H496" s="83"/>
    </row>
    <row r="497">
      <c r="F497" s="64"/>
      <c r="G497" s="83"/>
      <c r="H497" s="83"/>
    </row>
    <row r="498">
      <c r="F498" s="64"/>
      <c r="G498" s="83"/>
      <c r="H498" s="83"/>
    </row>
    <row r="499">
      <c r="F499" s="64"/>
      <c r="G499" s="83"/>
      <c r="H499" s="83"/>
    </row>
    <row r="500">
      <c r="F500" s="64"/>
      <c r="G500" s="83"/>
      <c r="H500" s="83"/>
    </row>
    <row r="501">
      <c r="F501" s="64"/>
      <c r="G501" s="83"/>
      <c r="H501" s="83"/>
    </row>
    <row r="502">
      <c r="F502" s="64"/>
      <c r="G502" s="83"/>
      <c r="H502" s="83"/>
    </row>
    <row r="503">
      <c r="F503" s="64"/>
      <c r="G503" s="83"/>
      <c r="H503" s="83"/>
    </row>
    <row r="504">
      <c r="F504" s="64"/>
      <c r="G504" s="83"/>
      <c r="H504" s="83"/>
    </row>
    <row r="505">
      <c r="F505" s="64"/>
      <c r="G505" s="83"/>
      <c r="H505" s="83"/>
    </row>
    <row r="506">
      <c r="F506" s="64"/>
      <c r="G506" s="83"/>
      <c r="H506" s="83"/>
    </row>
    <row r="507">
      <c r="F507" s="64"/>
      <c r="G507" s="83"/>
      <c r="H507" s="83"/>
    </row>
    <row r="508">
      <c r="F508" s="64"/>
      <c r="G508" s="83"/>
      <c r="H508" s="83"/>
    </row>
    <row r="509">
      <c r="F509" s="64"/>
      <c r="G509" s="83"/>
      <c r="H509" s="83"/>
    </row>
    <row r="510">
      <c r="F510" s="64"/>
      <c r="G510" s="83"/>
      <c r="H510" s="83"/>
    </row>
    <row r="511">
      <c r="F511" s="64"/>
      <c r="G511" s="83"/>
      <c r="H511" s="83"/>
    </row>
    <row r="512">
      <c r="F512" s="64"/>
      <c r="G512" s="83"/>
      <c r="H512" s="83"/>
    </row>
    <row r="513">
      <c r="F513" s="64"/>
      <c r="G513" s="83"/>
      <c r="H513" s="83"/>
    </row>
    <row r="514">
      <c r="F514" s="64"/>
      <c r="G514" s="83"/>
      <c r="H514" s="83"/>
    </row>
    <row r="515">
      <c r="F515" s="64"/>
      <c r="G515" s="83"/>
      <c r="H515" s="83"/>
    </row>
    <row r="516">
      <c r="F516" s="64"/>
      <c r="G516" s="83"/>
      <c r="H516" s="83"/>
    </row>
    <row r="517">
      <c r="F517" s="64"/>
      <c r="G517" s="83"/>
      <c r="H517" s="83"/>
    </row>
    <row r="518">
      <c r="F518" s="64"/>
      <c r="G518" s="83"/>
      <c r="H518" s="83"/>
    </row>
    <row r="519">
      <c r="F519" s="64"/>
      <c r="G519" s="83"/>
      <c r="H519" s="83"/>
    </row>
    <row r="520">
      <c r="F520" s="64"/>
      <c r="G520" s="83"/>
      <c r="H520" s="83"/>
    </row>
    <row r="521">
      <c r="F521" s="64"/>
      <c r="G521" s="83"/>
      <c r="H521" s="83"/>
    </row>
    <row r="522">
      <c r="F522" s="64"/>
      <c r="G522" s="83"/>
      <c r="H522" s="83"/>
    </row>
    <row r="523">
      <c r="F523" s="64"/>
      <c r="G523" s="83"/>
      <c r="H523" s="83"/>
    </row>
    <row r="524">
      <c r="F524" s="64"/>
      <c r="G524" s="83"/>
      <c r="H524" s="83"/>
    </row>
    <row r="525">
      <c r="F525" s="64"/>
      <c r="G525" s="83"/>
      <c r="H525" s="83"/>
    </row>
    <row r="526">
      <c r="F526" s="64"/>
      <c r="G526" s="83"/>
      <c r="H526" s="83"/>
    </row>
    <row r="527">
      <c r="F527" s="64"/>
      <c r="G527" s="83"/>
      <c r="H527" s="83"/>
    </row>
    <row r="528">
      <c r="F528" s="64"/>
      <c r="G528" s="83"/>
      <c r="H528" s="83"/>
    </row>
    <row r="529">
      <c r="F529" s="64"/>
      <c r="G529" s="83"/>
      <c r="H529" s="83"/>
    </row>
    <row r="530">
      <c r="F530" s="64"/>
      <c r="G530" s="83"/>
      <c r="H530" s="83"/>
    </row>
    <row r="531">
      <c r="F531" s="64"/>
      <c r="G531" s="83"/>
      <c r="H531" s="83"/>
    </row>
    <row r="532">
      <c r="F532" s="64"/>
      <c r="G532" s="83"/>
      <c r="H532" s="83"/>
    </row>
    <row r="533">
      <c r="F533" s="64"/>
      <c r="G533" s="83"/>
      <c r="H533" s="83"/>
    </row>
    <row r="534">
      <c r="F534" s="64"/>
      <c r="G534" s="83"/>
      <c r="H534" s="83"/>
    </row>
    <row r="535">
      <c r="F535" s="64"/>
      <c r="G535" s="83"/>
      <c r="H535" s="83"/>
    </row>
    <row r="536">
      <c r="F536" s="64"/>
      <c r="G536" s="83"/>
      <c r="H536" s="83"/>
    </row>
    <row r="537">
      <c r="F537" s="64"/>
      <c r="G537" s="83"/>
      <c r="H537" s="83"/>
    </row>
    <row r="538">
      <c r="F538" s="64"/>
      <c r="G538" s="83"/>
      <c r="H538" s="83"/>
    </row>
    <row r="539">
      <c r="F539" s="64"/>
      <c r="G539" s="83"/>
      <c r="H539" s="83"/>
    </row>
    <row r="540">
      <c r="F540" s="64"/>
      <c r="G540" s="83"/>
      <c r="H540" s="83"/>
    </row>
    <row r="541">
      <c r="F541" s="64"/>
      <c r="G541" s="83"/>
      <c r="H541" s="83"/>
    </row>
    <row r="542">
      <c r="F542" s="64"/>
      <c r="G542" s="83"/>
      <c r="H542" s="83"/>
    </row>
    <row r="543">
      <c r="F543" s="64"/>
      <c r="G543" s="83"/>
      <c r="H543" s="83"/>
    </row>
    <row r="544">
      <c r="F544" s="64"/>
      <c r="G544" s="83"/>
      <c r="H544" s="83"/>
    </row>
    <row r="545">
      <c r="F545" s="64"/>
      <c r="G545" s="83"/>
      <c r="H545" s="83"/>
    </row>
    <row r="546">
      <c r="F546" s="64"/>
      <c r="G546" s="83"/>
      <c r="H546" s="83"/>
    </row>
    <row r="547">
      <c r="F547" s="64"/>
      <c r="G547" s="83"/>
      <c r="H547" s="83"/>
    </row>
    <row r="548">
      <c r="F548" s="64"/>
      <c r="G548" s="83"/>
      <c r="H548" s="83"/>
    </row>
    <row r="549">
      <c r="F549" s="64"/>
      <c r="G549" s="83"/>
      <c r="H549" s="83"/>
    </row>
    <row r="550">
      <c r="F550" s="64"/>
      <c r="G550" s="83"/>
      <c r="H550" s="83"/>
    </row>
    <row r="551">
      <c r="F551" s="64"/>
      <c r="G551" s="83"/>
      <c r="H551" s="83"/>
    </row>
    <row r="552">
      <c r="F552" s="64"/>
      <c r="G552" s="83"/>
      <c r="H552" s="83"/>
    </row>
    <row r="553">
      <c r="F553" s="64"/>
      <c r="G553" s="83"/>
      <c r="H553" s="83"/>
    </row>
    <row r="554">
      <c r="F554" s="64"/>
      <c r="G554" s="83"/>
      <c r="H554" s="83"/>
    </row>
    <row r="555">
      <c r="F555" s="64"/>
      <c r="G555" s="83"/>
      <c r="H555" s="83"/>
    </row>
    <row r="556">
      <c r="F556" s="64"/>
      <c r="G556" s="83"/>
      <c r="H556" s="83"/>
    </row>
    <row r="557">
      <c r="F557" s="64"/>
      <c r="G557" s="83"/>
      <c r="H557" s="83"/>
    </row>
    <row r="558">
      <c r="F558" s="64"/>
      <c r="G558" s="83"/>
      <c r="H558" s="83"/>
    </row>
    <row r="559">
      <c r="F559" s="64"/>
      <c r="G559" s="83"/>
      <c r="H559" s="83"/>
    </row>
    <row r="560">
      <c r="F560" s="64"/>
      <c r="G560" s="83"/>
      <c r="H560" s="83"/>
    </row>
    <row r="561">
      <c r="F561" s="64"/>
      <c r="G561" s="83"/>
      <c r="H561" s="83"/>
    </row>
    <row r="562">
      <c r="F562" s="64"/>
      <c r="G562" s="83"/>
      <c r="H562" s="83"/>
    </row>
    <row r="563">
      <c r="F563" s="64"/>
      <c r="G563" s="83"/>
      <c r="H563" s="83"/>
    </row>
    <row r="564">
      <c r="F564" s="64"/>
      <c r="G564" s="83"/>
      <c r="H564" s="83"/>
    </row>
    <row r="565">
      <c r="F565" s="64"/>
      <c r="G565" s="83"/>
      <c r="H565" s="83"/>
    </row>
    <row r="566">
      <c r="F566" s="64"/>
      <c r="G566" s="83"/>
      <c r="H566" s="83"/>
    </row>
    <row r="567">
      <c r="F567" s="64"/>
      <c r="G567" s="83"/>
      <c r="H567" s="83"/>
    </row>
    <row r="568">
      <c r="F568" s="64"/>
      <c r="G568" s="83"/>
      <c r="H568" s="83"/>
    </row>
    <row r="569">
      <c r="F569" s="64"/>
      <c r="G569" s="83"/>
      <c r="H569" s="83"/>
    </row>
    <row r="570">
      <c r="F570" s="64"/>
      <c r="G570" s="83"/>
      <c r="H570" s="83"/>
    </row>
    <row r="571">
      <c r="F571" s="64"/>
      <c r="G571" s="83"/>
      <c r="H571" s="83"/>
    </row>
    <row r="572">
      <c r="F572" s="64"/>
      <c r="G572" s="83"/>
      <c r="H572" s="83"/>
    </row>
    <row r="573">
      <c r="F573" s="64"/>
      <c r="G573" s="83"/>
      <c r="H573" s="83"/>
    </row>
    <row r="574">
      <c r="F574" s="64"/>
      <c r="G574" s="83"/>
      <c r="H574" s="83"/>
    </row>
    <row r="575">
      <c r="F575" s="64"/>
      <c r="G575" s="83"/>
      <c r="H575" s="83"/>
    </row>
    <row r="576">
      <c r="F576" s="64"/>
      <c r="G576" s="83"/>
      <c r="H576" s="83"/>
    </row>
    <row r="577">
      <c r="F577" s="64"/>
      <c r="G577" s="83"/>
      <c r="H577" s="83"/>
    </row>
    <row r="578">
      <c r="F578" s="64"/>
      <c r="G578" s="83"/>
      <c r="H578" s="83"/>
    </row>
    <row r="579">
      <c r="F579" s="64"/>
      <c r="G579" s="83"/>
      <c r="H579" s="83"/>
    </row>
    <row r="580">
      <c r="F580" s="64"/>
      <c r="G580" s="83"/>
      <c r="H580" s="83"/>
    </row>
    <row r="581">
      <c r="F581" s="64"/>
      <c r="G581" s="83"/>
      <c r="H581" s="83"/>
    </row>
    <row r="582">
      <c r="F582" s="64"/>
      <c r="G582" s="83"/>
      <c r="H582" s="83"/>
    </row>
    <row r="583">
      <c r="F583" s="64"/>
      <c r="G583" s="83"/>
      <c r="H583" s="83"/>
    </row>
    <row r="584">
      <c r="F584" s="64"/>
      <c r="G584" s="83"/>
      <c r="H584" s="83"/>
    </row>
    <row r="585">
      <c r="F585" s="64"/>
      <c r="G585" s="83"/>
      <c r="H585" s="83"/>
    </row>
    <row r="586">
      <c r="F586" s="64"/>
      <c r="G586" s="83"/>
      <c r="H586" s="83"/>
    </row>
    <row r="587">
      <c r="F587" s="64"/>
      <c r="G587" s="83"/>
      <c r="H587" s="83"/>
    </row>
    <row r="588">
      <c r="F588" s="64"/>
      <c r="G588" s="83"/>
      <c r="H588" s="83"/>
    </row>
    <row r="589">
      <c r="F589" s="64"/>
      <c r="G589" s="83"/>
      <c r="H589" s="83"/>
    </row>
    <row r="590">
      <c r="F590" s="64"/>
      <c r="G590" s="83"/>
      <c r="H590" s="83"/>
    </row>
    <row r="591">
      <c r="F591" s="64"/>
      <c r="G591" s="83"/>
      <c r="H591" s="83"/>
    </row>
    <row r="592">
      <c r="F592" s="64"/>
      <c r="G592" s="83"/>
      <c r="H592" s="83"/>
    </row>
    <row r="593">
      <c r="F593" s="64"/>
      <c r="G593" s="83"/>
      <c r="H593" s="83"/>
    </row>
    <row r="594">
      <c r="F594" s="64"/>
      <c r="G594" s="83"/>
      <c r="H594" s="83"/>
    </row>
    <row r="595">
      <c r="F595" s="64"/>
      <c r="G595" s="83"/>
      <c r="H595" s="83"/>
    </row>
    <row r="596">
      <c r="F596" s="64"/>
      <c r="G596" s="83"/>
      <c r="H596" s="83"/>
    </row>
    <row r="597">
      <c r="F597" s="64"/>
      <c r="G597" s="83"/>
      <c r="H597" s="83"/>
    </row>
    <row r="598">
      <c r="F598" s="64"/>
      <c r="G598" s="83"/>
      <c r="H598" s="83"/>
    </row>
    <row r="599">
      <c r="F599" s="64"/>
      <c r="G599" s="83"/>
      <c r="H599" s="83"/>
    </row>
    <row r="600">
      <c r="F600" s="64"/>
      <c r="G600" s="83"/>
      <c r="H600" s="83"/>
    </row>
    <row r="601">
      <c r="F601" s="64"/>
      <c r="G601" s="83"/>
      <c r="H601" s="83"/>
    </row>
    <row r="602">
      <c r="F602" s="64"/>
      <c r="G602" s="83"/>
      <c r="H602" s="83"/>
    </row>
    <row r="603">
      <c r="F603" s="64"/>
      <c r="G603" s="83"/>
      <c r="H603" s="83"/>
    </row>
    <row r="604">
      <c r="F604" s="64"/>
      <c r="G604" s="83"/>
      <c r="H604" s="83"/>
    </row>
    <row r="605">
      <c r="F605" s="64"/>
      <c r="G605" s="83"/>
      <c r="H605" s="83"/>
    </row>
    <row r="606">
      <c r="F606" s="64"/>
      <c r="G606" s="83"/>
      <c r="H606" s="83"/>
    </row>
    <row r="607">
      <c r="F607" s="64"/>
      <c r="G607" s="83"/>
      <c r="H607" s="83"/>
    </row>
    <row r="608">
      <c r="F608" s="64"/>
      <c r="G608" s="83"/>
      <c r="H608" s="83"/>
    </row>
    <row r="609">
      <c r="F609" s="64"/>
      <c r="G609" s="83"/>
      <c r="H609" s="83"/>
    </row>
    <row r="610">
      <c r="F610" s="64"/>
      <c r="G610" s="83"/>
      <c r="H610" s="83"/>
    </row>
    <row r="611">
      <c r="F611" s="64"/>
      <c r="G611" s="83"/>
      <c r="H611" s="83"/>
    </row>
    <row r="612">
      <c r="F612" s="64"/>
      <c r="G612" s="83"/>
      <c r="H612" s="83"/>
    </row>
    <row r="613">
      <c r="F613" s="64"/>
      <c r="G613" s="83"/>
      <c r="H613" s="83"/>
    </row>
    <row r="614">
      <c r="F614" s="64"/>
      <c r="G614" s="83"/>
      <c r="H614" s="83"/>
    </row>
    <row r="615">
      <c r="F615" s="64"/>
      <c r="G615" s="83"/>
      <c r="H615" s="83"/>
    </row>
    <row r="616">
      <c r="F616" s="64"/>
      <c r="G616" s="83"/>
      <c r="H616" s="83"/>
    </row>
    <row r="617">
      <c r="F617" s="64"/>
      <c r="G617" s="83"/>
      <c r="H617" s="83"/>
    </row>
    <row r="618">
      <c r="F618" s="64"/>
      <c r="G618" s="83"/>
      <c r="H618" s="83"/>
    </row>
    <row r="619">
      <c r="F619" s="64"/>
      <c r="G619" s="83"/>
      <c r="H619" s="83"/>
    </row>
    <row r="620">
      <c r="F620" s="64"/>
      <c r="G620" s="83"/>
      <c r="H620" s="83"/>
    </row>
    <row r="621">
      <c r="F621" s="64"/>
      <c r="G621" s="83"/>
      <c r="H621" s="83"/>
    </row>
    <row r="622">
      <c r="F622" s="64"/>
      <c r="G622" s="83"/>
      <c r="H622" s="83"/>
    </row>
    <row r="623">
      <c r="F623" s="64"/>
      <c r="G623" s="83"/>
      <c r="H623" s="83"/>
    </row>
    <row r="624">
      <c r="F624" s="64"/>
      <c r="G624" s="83"/>
      <c r="H624" s="83"/>
    </row>
    <row r="625">
      <c r="F625" s="64"/>
      <c r="G625" s="83"/>
      <c r="H625" s="83"/>
    </row>
    <row r="626">
      <c r="F626" s="64"/>
      <c r="G626" s="83"/>
      <c r="H626" s="83"/>
    </row>
    <row r="627">
      <c r="F627" s="64"/>
      <c r="G627" s="83"/>
      <c r="H627" s="83"/>
    </row>
    <row r="628">
      <c r="F628" s="64"/>
      <c r="G628" s="83"/>
      <c r="H628" s="83"/>
    </row>
    <row r="629">
      <c r="F629" s="64"/>
      <c r="G629" s="83"/>
      <c r="H629" s="83"/>
    </row>
    <row r="630">
      <c r="F630" s="64"/>
      <c r="G630" s="83"/>
      <c r="H630" s="83"/>
    </row>
    <row r="631">
      <c r="F631" s="64"/>
      <c r="G631" s="83"/>
      <c r="H631" s="83"/>
    </row>
    <row r="632">
      <c r="F632" s="64"/>
      <c r="G632" s="83"/>
      <c r="H632" s="83"/>
    </row>
    <row r="633">
      <c r="F633" s="64"/>
      <c r="G633" s="83"/>
      <c r="H633" s="83"/>
    </row>
    <row r="634">
      <c r="F634" s="64"/>
      <c r="G634" s="83"/>
      <c r="H634" s="83"/>
    </row>
    <row r="635">
      <c r="F635" s="64"/>
      <c r="G635" s="83"/>
      <c r="H635" s="83"/>
    </row>
    <row r="636">
      <c r="F636" s="64"/>
      <c r="G636" s="83"/>
      <c r="H636" s="83"/>
    </row>
    <row r="637">
      <c r="F637" s="64"/>
      <c r="G637" s="83"/>
      <c r="H637" s="83"/>
    </row>
    <row r="638">
      <c r="F638" s="64"/>
      <c r="G638" s="83"/>
      <c r="H638" s="83"/>
    </row>
    <row r="639">
      <c r="F639" s="64"/>
      <c r="G639" s="83"/>
      <c r="H639" s="83"/>
    </row>
    <row r="640">
      <c r="F640" s="64"/>
      <c r="G640" s="83"/>
      <c r="H640" s="83"/>
    </row>
    <row r="641">
      <c r="F641" s="64"/>
      <c r="G641" s="83"/>
      <c r="H641" s="83"/>
    </row>
    <row r="642">
      <c r="F642" s="64"/>
      <c r="G642" s="83"/>
      <c r="H642" s="83"/>
    </row>
    <row r="643">
      <c r="F643" s="64"/>
      <c r="G643" s="83"/>
      <c r="H643" s="83"/>
    </row>
    <row r="644">
      <c r="F644" s="64"/>
      <c r="G644" s="83"/>
      <c r="H644" s="83"/>
    </row>
    <row r="645">
      <c r="F645" s="64"/>
      <c r="G645" s="83"/>
      <c r="H645" s="83"/>
    </row>
    <row r="646">
      <c r="F646" s="64"/>
      <c r="G646" s="83"/>
      <c r="H646" s="83"/>
    </row>
    <row r="647">
      <c r="F647" s="64"/>
      <c r="G647" s="83"/>
      <c r="H647" s="83"/>
    </row>
    <row r="648">
      <c r="F648" s="64"/>
      <c r="G648" s="83"/>
      <c r="H648" s="83"/>
    </row>
    <row r="649">
      <c r="F649" s="64"/>
      <c r="G649" s="83"/>
      <c r="H649" s="83"/>
    </row>
    <row r="650">
      <c r="F650" s="64"/>
      <c r="G650" s="83"/>
      <c r="H650" s="83"/>
    </row>
    <row r="651">
      <c r="F651" s="64"/>
      <c r="G651" s="83"/>
      <c r="H651" s="83"/>
    </row>
    <row r="652">
      <c r="F652" s="64"/>
      <c r="G652" s="83"/>
      <c r="H652" s="83"/>
    </row>
    <row r="653">
      <c r="F653" s="64"/>
      <c r="G653" s="83"/>
      <c r="H653" s="83"/>
    </row>
    <row r="654">
      <c r="F654" s="64"/>
      <c r="G654" s="83"/>
      <c r="H654" s="83"/>
    </row>
    <row r="655">
      <c r="F655" s="64"/>
      <c r="G655" s="83"/>
      <c r="H655" s="83"/>
    </row>
    <row r="656">
      <c r="F656" s="64"/>
      <c r="G656" s="83"/>
      <c r="H656" s="83"/>
    </row>
    <row r="657">
      <c r="F657" s="64"/>
      <c r="G657" s="83"/>
      <c r="H657" s="83"/>
    </row>
    <row r="658">
      <c r="F658" s="64"/>
      <c r="G658" s="83"/>
      <c r="H658" s="83"/>
    </row>
    <row r="659">
      <c r="F659" s="64"/>
      <c r="G659" s="83"/>
      <c r="H659" s="83"/>
    </row>
    <row r="660">
      <c r="F660" s="64"/>
      <c r="G660" s="83"/>
      <c r="H660" s="83"/>
    </row>
    <row r="661">
      <c r="F661" s="64"/>
      <c r="G661" s="83"/>
      <c r="H661" s="83"/>
    </row>
    <row r="662">
      <c r="F662" s="64"/>
      <c r="G662" s="83"/>
      <c r="H662" s="83"/>
    </row>
    <row r="663">
      <c r="F663" s="64"/>
      <c r="G663" s="83"/>
      <c r="H663" s="83"/>
    </row>
    <row r="664">
      <c r="F664" s="64"/>
      <c r="G664" s="83"/>
      <c r="H664" s="83"/>
    </row>
    <row r="665">
      <c r="F665" s="64"/>
      <c r="G665" s="83"/>
      <c r="H665" s="83"/>
    </row>
    <row r="666">
      <c r="F666" s="64"/>
      <c r="G666" s="83"/>
      <c r="H666" s="83"/>
    </row>
    <row r="667">
      <c r="F667" s="64"/>
      <c r="G667" s="83"/>
      <c r="H667" s="83"/>
    </row>
    <row r="668">
      <c r="F668" s="64"/>
      <c r="G668" s="83"/>
      <c r="H668" s="83"/>
    </row>
    <row r="669">
      <c r="F669" s="64"/>
      <c r="G669" s="83"/>
      <c r="H669" s="83"/>
    </row>
    <row r="670">
      <c r="F670" s="64"/>
      <c r="G670" s="83"/>
      <c r="H670" s="83"/>
    </row>
    <row r="671">
      <c r="F671" s="64"/>
      <c r="G671" s="83"/>
      <c r="H671" s="83"/>
    </row>
    <row r="672">
      <c r="F672" s="64"/>
      <c r="G672" s="83"/>
      <c r="H672" s="83"/>
    </row>
    <row r="673">
      <c r="F673" s="64"/>
      <c r="G673" s="83"/>
      <c r="H673" s="83"/>
    </row>
    <row r="674">
      <c r="F674" s="64"/>
      <c r="G674" s="83"/>
      <c r="H674" s="83"/>
    </row>
    <row r="675">
      <c r="F675" s="64"/>
      <c r="G675" s="83"/>
      <c r="H675" s="83"/>
    </row>
    <row r="676">
      <c r="F676" s="64"/>
      <c r="G676" s="83"/>
      <c r="H676" s="83"/>
    </row>
    <row r="677">
      <c r="F677" s="64"/>
      <c r="G677" s="83"/>
      <c r="H677" s="83"/>
    </row>
    <row r="678">
      <c r="F678" s="64"/>
      <c r="G678" s="83"/>
      <c r="H678" s="83"/>
    </row>
    <row r="679">
      <c r="F679" s="64"/>
      <c r="G679" s="83"/>
      <c r="H679" s="83"/>
    </row>
    <row r="680">
      <c r="F680" s="64"/>
      <c r="G680" s="83"/>
      <c r="H680" s="83"/>
    </row>
    <row r="681">
      <c r="F681" s="64"/>
      <c r="G681" s="83"/>
      <c r="H681" s="83"/>
    </row>
    <row r="682">
      <c r="F682" s="64"/>
      <c r="G682" s="83"/>
      <c r="H682" s="83"/>
    </row>
    <row r="683">
      <c r="F683" s="64"/>
      <c r="G683" s="83"/>
      <c r="H683" s="83"/>
    </row>
    <row r="684">
      <c r="F684" s="64"/>
      <c r="G684" s="83"/>
      <c r="H684" s="83"/>
    </row>
    <row r="685">
      <c r="F685" s="64"/>
      <c r="G685" s="83"/>
      <c r="H685" s="83"/>
    </row>
    <row r="686">
      <c r="F686" s="64"/>
      <c r="G686" s="83"/>
      <c r="H686" s="83"/>
    </row>
    <row r="687">
      <c r="F687" s="64"/>
      <c r="G687" s="83"/>
      <c r="H687" s="83"/>
    </row>
    <row r="688">
      <c r="F688" s="64"/>
      <c r="G688" s="83"/>
      <c r="H688" s="83"/>
    </row>
    <row r="689">
      <c r="F689" s="64"/>
      <c r="G689" s="83"/>
      <c r="H689" s="83"/>
    </row>
    <row r="690">
      <c r="F690" s="64"/>
      <c r="G690" s="83"/>
      <c r="H690" s="83"/>
    </row>
    <row r="691">
      <c r="F691" s="64"/>
      <c r="G691" s="83"/>
      <c r="H691" s="83"/>
    </row>
    <row r="692">
      <c r="F692" s="64"/>
      <c r="G692" s="83"/>
      <c r="H692" s="83"/>
    </row>
    <row r="693">
      <c r="F693" s="64"/>
      <c r="G693" s="83"/>
      <c r="H693" s="83"/>
    </row>
    <row r="694">
      <c r="F694" s="64"/>
      <c r="G694" s="83"/>
      <c r="H694" s="83"/>
    </row>
    <row r="695">
      <c r="F695" s="64"/>
      <c r="G695" s="83"/>
      <c r="H695" s="83"/>
    </row>
    <row r="696">
      <c r="F696" s="64"/>
      <c r="G696" s="83"/>
      <c r="H696" s="83"/>
    </row>
    <row r="697">
      <c r="F697" s="64"/>
      <c r="G697" s="83"/>
      <c r="H697" s="83"/>
    </row>
    <row r="698">
      <c r="F698" s="64"/>
      <c r="G698" s="83"/>
      <c r="H698" s="83"/>
    </row>
    <row r="699">
      <c r="F699" s="64"/>
      <c r="G699" s="83"/>
      <c r="H699" s="83"/>
    </row>
    <row r="700">
      <c r="F700" s="64"/>
      <c r="G700" s="83"/>
      <c r="H700" s="83"/>
    </row>
    <row r="701">
      <c r="F701" s="64"/>
      <c r="G701" s="83"/>
      <c r="H701" s="83"/>
    </row>
    <row r="702">
      <c r="F702" s="64"/>
      <c r="G702" s="83"/>
      <c r="H702" s="83"/>
    </row>
    <row r="703">
      <c r="F703" s="64"/>
      <c r="G703" s="83"/>
      <c r="H703" s="83"/>
    </row>
    <row r="704">
      <c r="F704" s="64"/>
      <c r="G704" s="83"/>
      <c r="H704" s="83"/>
    </row>
    <row r="705">
      <c r="F705" s="64"/>
      <c r="G705" s="83"/>
      <c r="H705" s="83"/>
    </row>
    <row r="706">
      <c r="F706" s="64"/>
      <c r="G706" s="83"/>
      <c r="H706" s="83"/>
    </row>
    <row r="707">
      <c r="F707" s="64"/>
      <c r="G707" s="83"/>
      <c r="H707" s="83"/>
    </row>
    <row r="708">
      <c r="F708" s="64"/>
      <c r="G708" s="83"/>
      <c r="H708" s="83"/>
    </row>
    <row r="709">
      <c r="F709" s="64"/>
      <c r="G709" s="83"/>
      <c r="H709" s="83"/>
    </row>
    <row r="710">
      <c r="F710" s="64"/>
      <c r="G710" s="83"/>
      <c r="H710" s="83"/>
    </row>
    <row r="711">
      <c r="F711" s="64"/>
      <c r="G711" s="83"/>
      <c r="H711" s="83"/>
    </row>
    <row r="712">
      <c r="F712" s="64"/>
      <c r="G712" s="83"/>
      <c r="H712" s="83"/>
    </row>
    <row r="713">
      <c r="F713" s="64"/>
      <c r="G713" s="83"/>
      <c r="H713" s="83"/>
    </row>
    <row r="714">
      <c r="F714" s="64"/>
      <c r="G714" s="83"/>
      <c r="H714" s="83"/>
    </row>
    <row r="715">
      <c r="F715" s="64"/>
      <c r="G715" s="83"/>
      <c r="H715" s="83"/>
    </row>
    <row r="716">
      <c r="F716" s="64"/>
      <c r="G716" s="83"/>
      <c r="H716" s="83"/>
    </row>
    <row r="717">
      <c r="F717" s="64"/>
      <c r="G717" s="83"/>
      <c r="H717" s="83"/>
    </row>
    <row r="718">
      <c r="F718" s="64"/>
      <c r="G718" s="83"/>
      <c r="H718" s="83"/>
    </row>
    <row r="719">
      <c r="F719" s="64"/>
      <c r="G719" s="83"/>
      <c r="H719" s="83"/>
    </row>
    <row r="720">
      <c r="F720" s="64"/>
      <c r="G720" s="83"/>
      <c r="H720" s="83"/>
    </row>
    <row r="721">
      <c r="F721" s="64"/>
      <c r="G721" s="83"/>
      <c r="H721" s="83"/>
    </row>
    <row r="722">
      <c r="F722" s="64"/>
      <c r="G722" s="83"/>
      <c r="H722" s="83"/>
    </row>
    <row r="723">
      <c r="F723" s="64"/>
      <c r="G723" s="83"/>
      <c r="H723" s="83"/>
    </row>
    <row r="724">
      <c r="F724" s="64"/>
      <c r="G724" s="83"/>
      <c r="H724" s="83"/>
    </row>
    <row r="725">
      <c r="F725" s="64"/>
      <c r="G725" s="83"/>
      <c r="H725" s="83"/>
    </row>
    <row r="726">
      <c r="F726" s="64"/>
      <c r="G726" s="83"/>
      <c r="H726" s="83"/>
    </row>
    <row r="727">
      <c r="F727" s="64"/>
      <c r="G727" s="83"/>
      <c r="H727" s="83"/>
    </row>
    <row r="728">
      <c r="F728" s="64"/>
      <c r="G728" s="83"/>
      <c r="H728" s="83"/>
    </row>
    <row r="729">
      <c r="F729" s="64"/>
      <c r="G729" s="83"/>
      <c r="H729" s="83"/>
    </row>
    <row r="730">
      <c r="F730" s="64"/>
      <c r="G730" s="83"/>
      <c r="H730" s="83"/>
    </row>
    <row r="731">
      <c r="F731" s="64"/>
      <c r="G731" s="83"/>
      <c r="H731" s="83"/>
    </row>
    <row r="732">
      <c r="F732" s="64"/>
      <c r="G732" s="83"/>
      <c r="H732" s="83"/>
    </row>
    <row r="733">
      <c r="F733" s="64"/>
      <c r="G733" s="83"/>
      <c r="H733" s="83"/>
    </row>
    <row r="734">
      <c r="F734" s="64"/>
      <c r="G734" s="83"/>
      <c r="H734" s="83"/>
    </row>
    <row r="735">
      <c r="F735" s="64"/>
      <c r="G735" s="83"/>
      <c r="H735" s="83"/>
    </row>
    <row r="736">
      <c r="F736" s="64"/>
      <c r="G736" s="83"/>
      <c r="H736" s="83"/>
    </row>
    <row r="737">
      <c r="F737" s="64"/>
      <c r="G737" s="83"/>
      <c r="H737" s="83"/>
    </row>
    <row r="738">
      <c r="F738" s="64"/>
      <c r="G738" s="83"/>
      <c r="H738" s="83"/>
    </row>
    <row r="739">
      <c r="F739" s="64"/>
      <c r="G739" s="83"/>
      <c r="H739" s="83"/>
    </row>
    <row r="740">
      <c r="F740" s="64"/>
      <c r="G740" s="83"/>
      <c r="H740" s="83"/>
    </row>
    <row r="741">
      <c r="F741" s="64"/>
      <c r="G741" s="83"/>
      <c r="H741" s="83"/>
    </row>
    <row r="742">
      <c r="F742" s="64"/>
      <c r="G742" s="83"/>
      <c r="H742" s="83"/>
    </row>
    <row r="743">
      <c r="F743" s="64"/>
      <c r="G743" s="83"/>
      <c r="H743" s="83"/>
    </row>
    <row r="744">
      <c r="F744" s="64"/>
      <c r="G744" s="83"/>
      <c r="H744" s="83"/>
    </row>
    <row r="745">
      <c r="F745" s="64"/>
      <c r="G745" s="83"/>
      <c r="H745" s="83"/>
    </row>
    <row r="746">
      <c r="F746" s="64"/>
      <c r="G746" s="83"/>
      <c r="H746" s="83"/>
    </row>
    <row r="747">
      <c r="F747" s="64"/>
      <c r="G747" s="83"/>
      <c r="H747" s="83"/>
    </row>
    <row r="748">
      <c r="F748" s="64"/>
      <c r="G748" s="83"/>
      <c r="H748" s="83"/>
    </row>
    <row r="749">
      <c r="F749" s="64"/>
      <c r="G749" s="83"/>
      <c r="H749" s="83"/>
    </row>
    <row r="750">
      <c r="F750" s="64"/>
      <c r="G750" s="83"/>
      <c r="H750" s="83"/>
    </row>
    <row r="751">
      <c r="F751" s="64"/>
      <c r="G751" s="83"/>
      <c r="H751" s="83"/>
    </row>
    <row r="752">
      <c r="F752" s="64"/>
      <c r="G752" s="83"/>
      <c r="H752" s="83"/>
    </row>
    <row r="753">
      <c r="F753" s="64"/>
      <c r="G753" s="83"/>
      <c r="H753" s="83"/>
    </row>
    <row r="754">
      <c r="F754" s="64"/>
      <c r="G754" s="83"/>
      <c r="H754" s="83"/>
    </row>
    <row r="755">
      <c r="F755" s="64"/>
      <c r="G755" s="83"/>
      <c r="H755" s="83"/>
    </row>
    <row r="756">
      <c r="F756" s="64"/>
      <c r="G756" s="83"/>
      <c r="H756" s="83"/>
    </row>
    <row r="757">
      <c r="F757" s="64"/>
      <c r="G757" s="83"/>
      <c r="H757" s="83"/>
    </row>
    <row r="758">
      <c r="F758" s="64"/>
      <c r="G758" s="83"/>
      <c r="H758" s="83"/>
    </row>
    <row r="759">
      <c r="F759" s="64"/>
      <c r="G759" s="83"/>
      <c r="H759" s="83"/>
    </row>
    <row r="760">
      <c r="F760" s="64"/>
      <c r="G760" s="83"/>
      <c r="H760" s="83"/>
    </row>
    <row r="761">
      <c r="F761" s="64"/>
      <c r="G761" s="83"/>
      <c r="H761" s="83"/>
    </row>
    <row r="762">
      <c r="F762" s="64"/>
      <c r="G762" s="83"/>
      <c r="H762" s="83"/>
    </row>
    <row r="763">
      <c r="F763" s="64"/>
      <c r="G763" s="83"/>
      <c r="H763" s="83"/>
    </row>
    <row r="764">
      <c r="F764" s="64"/>
      <c r="G764" s="83"/>
      <c r="H764" s="83"/>
    </row>
    <row r="765">
      <c r="F765" s="64"/>
      <c r="G765" s="83"/>
      <c r="H765" s="83"/>
    </row>
    <row r="766">
      <c r="F766" s="64"/>
      <c r="G766" s="83"/>
      <c r="H766" s="83"/>
    </row>
    <row r="767">
      <c r="F767" s="64"/>
      <c r="G767" s="83"/>
      <c r="H767" s="83"/>
    </row>
    <row r="768">
      <c r="F768" s="64"/>
      <c r="G768" s="83"/>
      <c r="H768" s="83"/>
    </row>
    <row r="769">
      <c r="F769" s="64"/>
      <c r="G769" s="83"/>
      <c r="H769" s="83"/>
    </row>
    <row r="770">
      <c r="F770" s="64"/>
      <c r="G770" s="83"/>
      <c r="H770" s="83"/>
    </row>
    <row r="771">
      <c r="F771" s="64"/>
      <c r="G771" s="83"/>
      <c r="H771" s="83"/>
    </row>
    <row r="772">
      <c r="F772" s="64"/>
      <c r="G772" s="83"/>
      <c r="H772" s="83"/>
    </row>
    <row r="773">
      <c r="F773" s="64"/>
      <c r="G773" s="83"/>
      <c r="H773" s="83"/>
    </row>
    <row r="774">
      <c r="F774" s="64"/>
      <c r="G774" s="83"/>
      <c r="H774" s="83"/>
    </row>
    <row r="775">
      <c r="F775" s="64"/>
      <c r="G775" s="83"/>
      <c r="H775" s="83"/>
    </row>
    <row r="776">
      <c r="F776" s="64"/>
      <c r="G776" s="83"/>
      <c r="H776" s="83"/>
    </row>
    <row r="777">
      <c r="F777" s="64"/>
      <c r="G777" s="83"/>
      <c r="H777" s="83"/>
    </row>
    <row r="778">
      <c r="F778" s="64"/>
      <c r="G778" s="83"/>
      <c r="H778" s="83"/>
    </row>
    <row r="779">
      <c r="F779" s="64"/>
      <c r="G779" s="83"/>
      <c r="H779" s="83"/>
    </row>
    <row r="780">
      <c r="F780" s="64"/>
      <c r="G780" s="83"/>
      <c r="H780" s="83"/>
    </row>
    <row r="781">
      <c r="F781" s="64"/>
      <c r="G781" s="83"/>
      <c r="H781" s="83"/>
    </row>
    <row r="782">
      <c r="F782" s="64"/>
      <c r="G782" s="83"/>
      <c r="H782" s="83"/>
    </row>
    <row r="783">
      <c r="F783" s="64"/>
      <c r="G783" s="83"/>
      <c r="H783" s="83"/>
    </row>
    <row r="784">
      <c r="F784" s="64"/>
      <c r="G784" s="83"/>
      <c r="H784" s="83"/>
    </row>
    <row r="785">
      <c r="F785" s="64"/>
      <c r="G785" s="83"/>
      <c r="H785" s="83"/>
    </row>
    <row r="786">
      <c r="F786" s="64"/>
      <c r="G786" s="83"/>
      <c r="H786" s="83"/>
    </row>
    <row r="787">
      <c r="F787" s="64"/>
      <c r="G787" s="83"/>
      <c r="H787" s="83"/>
    </row>
    <row r="788">
      <c r="F788" s="64"/>
      <c r="G788" s="83"/>
      <c r="H788" s="83"/>
    </row>
    <row r="789">
      <c r="F789" s="64"/>
      <c r="G789" s="83"/>
      <c r="H789" s="83"/>
    </row>
    <row r="790">
      <c r="F790" s="64"/>
      <c r="G790" s="83"/>
      <c r="H790" s="83"/>
    </row>
    <row r="791">
      <c r="F791" s="64"/>
      <c r="G791" s="83"/>
      <c r="H791" s="83"/>
    </row>
    <row r="792">
      <c r="F792" s="64"/>
      <c r="G792" s="83"/>
      <c r="H792" s="83"/>
    </row>
    <row r="793">
      <c r="F793" s="64"/>
      <c r="G793" s="83"/>
      <c r="H793" s="83"/>
    </row>
    <row r="794">
      <c r="F794" s="64"/>
      <c r="G794" s="83"/>
      <c r="H794" s="83"/>
    </row>
    <row r="795">
      <c r="F795" s="64"/>
      <c r="G795" s="83"/>
      <c r="H795" s="83"/>
    </row>
    <row r="796">
      <c r="F796" s="64"/>
      <c r="G796" s="83"/>
      <c r="H796" s="83"/>
    </row>
    <row r="797">
      <c r="F797" s="64"/>
      <c r="G797" s="83"/>
      <c r="H797" s="83"/>
    </row>
    <row r="798">
      <c r="F798" s="64"/>
      <c r="G798" s="83"/>
      <c r="H798" s="83"/>
    </row>
    <row r="799">
      <c r="F799" s="64"/>
      <c r="G799" s="83"/>
      <c r="H799" s="83"/>
    </row>
    <row r="800">
      <c r="F800" s="64"/>
      <c r="G800" s="83"/>
      <c r="H800" s="83"/>
    </row>
    <row r="801">
      <c r="F801" s="64"/>
      <c r="G801" s="83"/>
      <c r="H801" s="83"/>
    </row>
    <row r="802">
      <c r="F802" s="64"/>
      <c r="G802" s="83"/>
      <c r="H802" s="83"/>
    </row>
    <row r="803">
      <c r="F803" s="64"/>
      <c r="G803" s="83"/>
      <c r="H803" s="83"/>
    </row>
    <row r="804">
      <c r="F804" s="64"/>
      <c r="G804" s="83"/>
      <c r="H804" s="83"/>
    </row>
    <row r="805">
      <c r="F805" s="64"/>
      <c r="G805" s="83"/>
      <c r="H805" s="83"/>
    </row>
    <row r="806">
      <c r="F806" s="64"/>
      <c r="G806" s="83"/>
      <c r="H806" s="83"/>
    </row>
    <row r="807">
      <c r="F807" s="64"/>
      <c r="G807" s="83"/>
      <c r="H807" s="83"/>
    </row>
    <row r="808">
      <c r="F808" s="64"/>
      <c r="G808" s="83"/>
      <c r="H808" s="83"/>
    </row>
    <row r="809">
      <c r="F809" s="64"/>
      <c r="G809" s="83"/>
      <c r="H809" s="83"/>
    </row>
    <row r="810">
      <c r="F810" s="64"/>
      <c r="G810" s="83"/>
      <c r="H810" s="83"/>
    </row>
    <row r="811">
      <c r="F811" s="64"/>
      <c r="G811" s="83"/>
      <c r="H811" s="83"/>
    </row>
    <row r="812">
      <c r="F812" s="64"/>
      <c r="G812" s="83"/>
      <c r="H812" s="83"/>
    </row>
    <row r="813">
      <c r="F813" s="64"/>
      <c r="G813" s="83"/>
      <c r="H813" s="83"/>
    </row>
    <row r="814">
      <c r="F814" s="64"/>
      <c r="G814" s="83"/>
      <c r="H814" s="83"/>
    </row>
    <row r="815">
      <c r="F815" s="64"/>
      <c r="G815" s="83"/>
      <c r="H815" s="83"/>
    </row>
    <row r="816">
      <c r="F816" s="64"/>
      <c r="G816" s="83"/>
      <c r="H816" s="83"/>
    </row>
    <row r="817">
      <c r="F817" s="64"/>
      <c r="G817" s="83"/>
      <c r="H817" s="83"/>
    </row>
    <row r="818">
      <c r="F818" s="64"/>
      <c r="G818" s="83"/>
      <c r="H818" s="83"/>
    </row>
    <row r="819">
      <c r="F819" s="64"/>
      <c r="G819" s="83"/>
      <c r="H819" s="83"/>
    </row>
    <row r="820">
      <c r="F820" s="64"/>
      <c r="G820" s="83"/>
      <c r="H820" s="83"/>
    </row>
    <row r="821">
      <c r="F821" s="64"/>
      <c r="G821" s="83"/>
      <c r="H821" s="83"/>
    </row>
    <row r="822">
      <c r="F822" s="64"/>
      <c r="G822" s="83"/>
      <c r="H822" s="83"/>
    </row>
    <row r="823">
      <c r="F823" s="64"/>
      <c r="G823" s="83"/>
      <c r="H823" s="83"/>
    </row>
    <row r="824">
      <c r="F824" s="64"/>
      <c r="G824" s="83"/>
      <c r="H824" s="83"/>
    </row>
    <row r="825">
      <c r="F825" s="64"/>
      <c r="G825" s="83"/>
      <c r="H825" s="83"/>
    </row>
    <row r="826">
      <c r="F826" s="64"/>
      <c r="G826" s="83"/>
      <c r="H826" s="83"/>
    </row>
    <row r="827">
      <c r="F827" s="64"/>
      <c r="G827" s="83"/>
      <c r="H827" s="83"/>
    </row>
    <row r="828">
      <c r="F828" s="64"/>
      <c r="G828" s="83"/>
      <c r="H828" s="83"/>
    </row>
    <row r="829">
      <c r="F829" s="64"/>
      <c r="G829" s="83"/>
      <c r="H829" s="83"/>
    </row>
    <row r="830">
      <c r="F830" s="64"/>
      <c r="G830" s="83"/>
      <c r="H830" s="83"/>
    </row>
    <row r="831">
      <c r="F831" s="64"/>
      <c r="G831" s="83"/>
      <c r="H831" s="83"/>
    </row>
    <row r="832">
      <c r="F832" s="64"/>
      <c r="G832" s="83"/>
      <c r="H832" s="83"/>
    </row>
    <row r="833">
      <c r="F833" s="64"/>
      <c r="G833" s="83"/>
      <c r="H833" s="83"/>
    </row>
    <row r="834">
      <c r="F834" s="64"/>
      <c r="G834" s="83"/>
      <c r="H834" s="83"/>
    </row>
    <row r="835">
      <c r="F835" s="64"/>
      <c r="G835" s="83"/>
      <c r="H835" s="83"/>
    </row>
    <row r="836">
      <c r="F836" s="64"/>
      <c r="G836" s="83"/>
      <c r="H836" s="83"/>
    </row>
    <row r="837">
      <c r="F837" s="64"/>
      <c r="G837" s="83"/>
      <c r="H837" s="83"/>
    </row>
    <row r="838">
      <c r="F838" s="64"/>
      <c r="G838" s="83"/>
      <c r="H838" s="83"/>
    </row>
    <row r="839">
      <c r="F839" s="64"/>
      <c r="G839" s="83"/>
      <c r="H839" s="83"/>
    </row>
    <row r="840">
      <c r="F840" s="64"/>
      <c r="G840" s="83"/>
      <c r="H840" s="83"/>
    </row>
    <row r="841">
      <c r="F841" s="64"/>
      <c r="G841" s="83"/>
      <c r="H841" s="83"/>
    </row>
    <row r="842">
      <c r="F842" s="64"/>
      <c r="G842" s="83"/>
      <c r="H842" s="83"/>
    </row>
    <row r="843">
      <c r="F843" s="64"/>
      <c r="G843" s="83"/>
      <c r="H843" s="83"/>
    </row>
    <row r="844">
      <c r="F844" s="64"/>
      <c r="G844" s="83"/>
      <c r="H844" s="83"/>
    </row>
    <row r="845">
      <c r="F845" s="64"/>
      <c r="G845" s="83"/>
      <c r="H845" s="83"/>
    </row>
    <row r="846">
      <c r="F846" s="64"/>
      <c r="G846" s="83"/>
      <c r="H846" s="83"/>
    </row>
    <row r="847">
      <c r="F847" s="64"/>
      <c r="G847" s="83"/>
      <c r="H847" s="83"/>
    </row>
    <row r="848">
      <c r="F848" s="64"/>
      <c r="G848" s="83"/>
      <c r="H848" s="83"/>
    </row>
    <row r="849">
      <c r="F849" s="64"/>
      <c r="G849" s="83"/>
      <c r="H849" s="83"/>
    </row>
    <row r="850">
      <c r="F850" s="64"/>
      <c r="G850" s="83"/>
      <c r="H850" s="83"/>
    </row>
    <row r="851">
      <c r="F851" s="64"/>
      <c r="G851" s="83"/>
      <c r="H851" s="83"/>
    </row>
    <row r="852">
      <c r="F852" s="64"/>
      <c r="G852" s="83"/>
      <c r="H852" s="83"/>
    </row>
    <row r="853">
      <c r="F853" s="64"/>
      <c r="G853" s="83"/>
      <c r="H853" s="83"/>
    </row>
    <row r="854">
      <c r="F854" s="64"/>
      <c r="G854" s="83"/>
      <c r="H854" s="83"/>
    </row>
    <row r="855">
      <c r="F855" s="64"/>
      <c r="G855" s="83"/>
      <c r="H855" s="83"/>
    </row>
    <row r="856">
      <c r="F856" s="64"/>
      <c r="G856" s="83"/>
      <c r="H856" s="83"/>
    </row>
    <row r="857">
      <c r="F857" s="64"/>
      <c r="G857" s="83"/>
      <c r="H857" s="83"/>
    </row>
    <row r="858">
      <c r="F858" s="64"/>
      <c r="G858" s="83"/>
      <c r="H858" s="83"/>
    </row>
    <row r="859">
      <c r="F859" s="64"/>
      <c r="G859" s="83"/>
      <c r="H859" s="83"/>
    </row>
    <row r="860">
      <c r="F860" s="64"/>
      <c r="G860" s="83"/>
      <c r="H860" s="83"/>
    </row>
    <row r="861">
      <c r="F861" s="64"/>
      <c r="G861" s="83"/>
      <c r="H861" s="83"/>
    </row>
    <row r="862">
      <c r="F862" s="64"/>
      <c r="G862" s="83"/>
      <c r="H862" s="83"/>
    </row>
    <row r="863">
      <c r="F863" s="64"/>
      <c r="G863" s="83"/>
      <c r="H863" s="83"/>
    </row>
    <row r="864">
      <c r="F864" s="64"/>
      <c r="G864" s="83"/>
      <c r="H864" s="83"/>
    </row>
    <row r="865">
      <c r="F865" s="64"/>
      <c r="G865" s="83"/>
      <c r="H865" s="83"/>
    </row>
    <row r="866">
      <c r="F866" s="64"/>
      <c r="G866" s="83"/>
      <c r="H866" s="83"/>
    </row>
    <row r="867">
      <c r="F867" s="64"/>
      <c r="G867" s="83"/>
      <c r="H867" s="83"/>
    </row>
    <row r="868">
      <c r="F868" s="64"/>
      <c r="G868" s="83"/>
      <c r="H868" s="83"/>
    </row>
    <row r="869">
      <c r="F869" s="64"/>
      <c r="G869" s="83"/>
      <c r="H869" s="83"/>
    </row>
    <row r="870">
      <c r="F870" s="64"/>
      <c r="G870" s="83"/>
      <c r="H870" s="83"/>
    </row>
    <row r="871">
      <c r="F871" s="64"/>
      <c r="G871" s="83"/>
      <c r="H871" s="83"/>
    </row>
    <row r="872">
      <c r="F872" s="64"/>
      <c r="G872" s="83"/>
      <c r="H872" s="83"/>
    </row>
    <row r="873">
      <c r="F873" s="64"/>
      <c r="G873" s="83"/>
      <c r="H873" s="83"/>
    </row>
    <row r="874">
      <c r="F874" s="64"/>
      <c r="G874" s="83"/>
      <c r="H874" s="83"/>
    </row>
    <row r="875">
      <c r="F875" s="64"/>
      <c r="G875" s="83"/>
      <c r="H875" s="83"/>
    </row>
    <row r="876">
      <c r="F876" s="64"/>
      <c r="G876" s="83"/>
      <c r="H876" s="83"/>
    </row>
    <row r="877">
      <c r="F877" s="64"/>
      <c r="G877" s="83"/>
      <c r="H877" s="83"/>
    </row>
    <row r="878">
      <c r="F878" s="64"/>
      <c r="G878" s="83"/>
      <c r="H878" s="83"/>
    </row>
    <row r="879">
      <c r="F879" s="64"/>
      <c r="G879" s="83"/>
      <c r="H879" s="83"/>
    </row>
    <row r="880">
      <c r="F880" s="64"/>
      <c r="G880" s="83"/>
      <c r="H880" s="83"/>
    </row>
    <row r="881">
      <c r="F881" s="64"/>
      <c r="G881" s="83"/>
      <c r="H881" s="83"/>
    </row>
    <row r="882">
      <c r="F882" s="64"/>
      <c r="G882" s="83"/>
      <c r="H882" s="83"/>
    </row>
    <row r="883">
      <c r="F883" s="64"/>
      <c r="G883" s="83"/>
      <c r="H883" s="83"/>
    </row>
    <row r="884">
      <c r="F884" s="64"/>
      <c r="G884" s="83"/>
      <c r="H884" s="83"/>
    </row>
    <row r="885">
      <c r="F885" s="64"/>
      <c r="G885" s="83"/>
      <c r="H885" s="83"/>
    </row>
    <row r="886">
      <c r="F886" s="64"/>
      <c r="G886" s="83"/>
      <c r="H886" s="83"/>
    </row>
    <row r="887">
      <c r="F887" s="64"/>
      <c r="G887" s="83"/>
      <c r="H887" s="83"/>
    </row>
    <row r="888">
      <c r="F888" s="64"/>
      <c r="G888" s="83"/>
      <c r="H888" s="83"/>
    </row>
    <row r="889">
      <c r="F889" s="64"/>
      <c r="G889" s="83"/>
      <c r="H889" s="83"/>
    </row>
    <row r="890">
      <c r="F890" s="64"/>
      <c r="G890" s="83"/>
      <c r="H890" s="83"/>
    </row>
    <row r="891">
      <c r="F891" s="64"/>
      <c r="G891" s="83"/>
      <c r="H891" s="83"/>
    </row>
    <row r="892">
      <c r="F892" s="64"/>
      <c r="G892" s="83"/>
      <c r="H892" s="83"/>
    </row>
    <row r="893">
      <c r="F893" s="64"/>
      <c r="G893" s="83"/>
      <c r="H893" s="83"/>
    </row>
    <row r="894">
      <c r="F894" s="64"/>
      <c r="G894" s="83"/>
      <c r="H894" s="83"/>
    </row>
    <row r="895">
      <c r="F895" s="64"/>
      <c r="G895" s="83"/>
      <c r="H895" s="83"/>
    </row>
    <row r="896">
      <c r="F896" s="64"/>
      <c r="G896" s="83"/>
      <c r="H896" s="83"/>
    </row>
    <row r="897">
      <c r="F897" s="64"/>
      <c r="G897" s="83"/>
      <c r="H897" s="83"/>
    </row>
    <row r="898">
      <c r="F898" s="64"/>
      <c r="G898" s="83"/>
      <c r="H898" s="83"/>
    </row>
    <row r="899">
      <c r="F899" s="64"/>
      <c r="G899" s="83"/>
      <c r="H899" s="83"/>
    </row>
    <row r="900">
      <c r="F900" s="64"/>
      <c r="G900" s="83"/>
      <c r="H900" s="83"/>
    </row>
    <row r="901">
      <c r="F901" s="64"/>
      <c r="G901" s="83"/>
      <c r="H901" s="83"/>
    </row>
    <row r="902">
      <c r="F902" s="64"/>
      <c r="G902" s="83"/>
      <c r="H902" s="83"/>
    </row>
    <row r="903">
      <c r="F903" s="64"/>
      <c r="G903" s="83"/>
      <c r="H903" s="83"/>
    </row>
    <row r="904">
      <c r="F904" s="64"/>
      <c r="G904" s="83"/>
      <c r="H904" s="83"/>
    </row>
    <row r="905">
      <c r="F905" s="64"/>
      <c r="G905" s="83"/>
      <c r="H905" s="83"/>
    </row>
    <row r="906">
      <c r="F906" s="64"/>
      <c r="G906" s="83"/>
      <c r="H906" s="83"/>
    </row>
    <row r="907">
      <c r="F907" s="64"/>
      <c r="G907" s="83"/>
      <c r="H907" s="83"/>
    </row>
    <row r="908">
      <c r="F908" s="64"/>
      <c r="G908" s="83"/>
      <c r="H908" s="83"/>
    </row>
    <row r="909">
      <c r="F909" s="64"/>
      <c r="G909" s="83"/>
      <c r="H909" s="83"/>
    </row>
    <row r="910">
      <c r="F910" s="64"/>
      <c r="G910" s="83"/>
      <c r="H910" s="83"/>
    </row>
    <row r="911">
      <c r="F911" s="64"/>
      <c r="G911" s="83"/>
      <c r="H911" s="83"/>
    </row>
    <row r="912">
      <c r="F912" s="64"/>
      <c r="G912" s="83"/>
      <c r="H912" s="83"/>
    </row>
    <row r="913">
      <c r="F913" s="64"/>
      <c r="G913" s="83"/>
      <c r="H913" s="83"/>
    </row>
    <row r="914">
      <c r="F914" s="64"/>
      <c r="G914" s="83"/>
      <c r="H914" s="83"/>
    </row>
    <row r="915">
      <c r="F915" s="64"/>
      <c r="G915" s="83"/>
      <c r="H915" s="83"/>
    </row>
    <row r="916">
      <c r="F916" s="64"/>
      <c r="G916" s="83"/>
      <c r="H916" s="83"/>
    </row>
    <row r="917">
      <c r="F917" s="64"/>
      <c r="G917" s="83"/>
      <c r="H917" s="83"/>
    </row>
    <row r="918">
      <c r="F918" s="64"/>
      <c r="G918" s="83"/>
      <c r="H918" s="83"/>
    </row>
    <row r="919">
      <c r="F919" s="64"/>
      <c r="G919" s="83"/>
      <c r="H919" s="83"/>
    </row>
    <row r="920">
      <c r="F920" s="64"/>
      <c r="G920" s="83"/>
      <c r="H920" s="83"/>
    </row>
    <row r="921">
      <c r="F921" s="64"/>
      <c r="G921" s="83"/>
      <c r="H921" s="83"/>
    </row>
    <row r="922">
      <c r="F922" s="64"/>
      <c r="G922" s="83"/>
      <c r="H922" s="83"/>
    </row>
    <row r="923">
      <c r="F923" s="64"/>
      <c r="G923" s="83"/>
      <c r="H923" s="83"/>
    </row>
    <row r="924">
      <c r="F924" s="64"/>
      <c r="G924" s="83"/>
      <c r="H924" s="83"/>
    </row>
    <row r="925">
      <c r="F925" s="64"/>
      <c r="G925" s="83"/>
      <c r="H925" s="83"/>
    </row>
    <row r="926">
      <c r="F926" s="64"/>
      <c r="G926" s="83"/>
      <c r="H926" s="83"/>
    </row>
    <row r="927">
      <c r="F927" s="64"/>
      <c r="G927" s="83"/>
      <c r="H927" s="83"/>
    </row>
    <row r="928">
      <c r="F928" s="64"/>
      <c r="G928" s="83"/>
      <c r="H928" s="83"/>
    </row>
    <row r="929">
      <c r="F929" s="64"/>
      <c r="G929" s="83"/>
      <c r="H929" s="83"/>
    </row>
    <row r="930">
      <c r="F930" s="64"/>
      <c r="G930" s="83"/>
      <c r="H930" s="83"/>
    </row>
    <row r="931">
      <c r="F931" s="64"/>
      <c r="G931" s="83"/>
      <c r="H931" s="83"/>
    </row>
    <row r="932">
      <c r="F932" s="64"/>
      <c r="G932" s="83"/>
      <c r="H932" s="83"/>
    </row>
    <row r="933">
      <c r="F933" s="64"/>
      <c r="G933" s="83"/>
      <c r="H933" s="83"/>
    </row>
    <row r="934">
      <c r="F934" s="64"/>
      <c r="G934" s="83"/>
      <c r="H934" s="83"/>
    </row>
    <row r="935">
      <c r="F935" s="64"/>
      <c r="G935" s="83"/>
      <c r="H935" s="83"/>
    </row>
    <row r="936">
      <c r="F936" s="64"/>
      <c r="G936" s="83"/>
      <c r="H936" s="83"/>
    </row>
    <row r="937">
      <c r="F937" s="64"/>
      <c r="G937" s="83"/>
      <c r="H937" s="83"/>
    </row>
    <row r="938">
      <c r="F938" s="64"/>
      <c r="G938" s="83"/>
      <c r="H938" s="83"/>
    </row>
    <row r="939">
      <c r="F939" s="64"/>
      <c r="G939" s="83"/>
      <c r="H939" s="83"/>
    </row>
    <row r="940">
      <c r="F940" s="64"/>
      <c r="G940" s="83"/>
      <c r="H940" s="83"/>
    </row>
    <row r="941">
      <c r="F941" s="64"/>
      <c r="G941" s="83"/>
      <c r="H941" s="83"/>
    </row>
    <row r="942">
      <c r="F942" s="64"/>
      <c r="G942" s="83"/>
      <c r="H942" s="83"/>
    </row>
    <row r="943">
      <c r="F943" s="64"/>
      <c r="G943" s="83"/>
      <c r="H943" s="83"/>
    </row>
    <row r="944">
      <c r="F944" s="64"/>
      <c r="G944" s="83"/>
      <c r="H944" s="83"/>
    </row>
    <row r="945">
      <c r="F945" s="64"/>
      <c r="G945" s="83"/>
      <c r="H945" s="83"/>
    </row>
    <row r="946">
      <c r="F946" s="64"/>
      <c r="G946" s="83"/>
      <c r="H946" s="83"/>
    </row>
    <row r="947">
      <c r="F947" s="64"/>
      <c r="G947" s="83"/>
      <c r="H947" s="83"/>
    </row>
    <row r="948">
      <c r="F948" s="64"/>
      <c r="G948" s="83"/>
      <c r="H948" s="83"/>
    </row>
    <row r="949">
      <c r="F949" s="64"/>
      <c r="G949" s="83"/>
      <c r="H949" s="83"/>
    </row>
    <row r="950">
      <c r="F950" s="64"/>
      <c r="G950" s="83"/>
      <c r="H950" s="83"/>
    </row>
    <row r="951">
      <c r="F951" s="64"/>
      <c r="G951" s="83"/>
      <c r="H951" s="83"/>
    </row>
    <row r="952">
      <c r="F952" s="64"/>
      <c r="G952" s="83"/>
      <c r="H952" s="83"/>
    </row>
    <row r="953">
      <c r="F953" s="64"/>
      <c r="G953" s="83"/>
      <c r="H953" s="83"/>
    </row>
    <row r="954">
      <c r="F954" s="64"/>
      <c r="G954" s="83"/>
      <c r="H954" s="83"/>
    </row>
    <row r="955">
      <c r="F955" s="64"/>
      <c r="G955" s="83"/>
      <c r="H955" s="83"/>
    </row>
    <row r="956">
      <c r="F956" s="64"/>
      <c r="G956" s="83"/>
      <c r="H956" s="83"/>
    </row>
    <row r="957">
      <c r="F957" s="64"/>
      <c r="G957" s="83"/>
      <c r="H957" s="83"/>
    </row>
    <row r="958">
      <c r="F958" s="64"/>
      <c r="G958" s="83"/>
      <c r="H958" s="83"/>
    </row>
    <row r="959">
      <c r="F959" s="64"/>
      <c r="G959" s="83"/>
      <c r="H959" s="83"/>
    </row>
    <row r="960">
      <c r="F960" s="64"/>
      <c r="G960" s="83"/>
      <c r="H960" s="83"/>
    </row>
    <row r="961">
      <c r="F961" s="64"/>
      <c r="G961" s="83"/>
      <c r="H961" s="83"/>
    </row>
    <row r="962">
      <c r="F962" s="64"/>
      <c r="G962" s="83"/>
      <c r="H962" s="83"/>
    </row>
    <row r="963">
      <c r="F963" s="64"/>
      <c r="G963" s="83"/>
      <c r="H963" s="83"/>
    </row>
    <row r="964">
      <c r="F964" s="64"/>
      <c r="G964" s="83"/>
      <c r="H964" s="83"/>
    </row>
    <row r="965">
      <c r="F965" s="64"/>
      <c r="G965" s="83"/>
      <c r="H965" s="83"/>
    </row>
    <row r="966">
      <c r="F966" s="64"/>
      <c r="G966" s="83"/>
      <c r="H966" s="83"/>
    </row>
    <row r="967">
      <c r="F967" s="64"/>
      <c r="G967" s="83"/>
      <c r="H967" s="83"/>
    </row>
    <row r="968">
      <c r="F968" s="64"/>
      <c r="G968" s="83"/>
      <c r="H968" s="83"/>
    </row>
    <row r="969">
      <c r="F969" s="64"/>
      <c r="G969" s="83"/>
      <c r="H969" s="83"/>
    </row>
    <row r="970">
      <c r="F970" s="64"/>
      <c r="G970" s="83"/>
      <c r="H970" s="83"/>
    </row>
    <row r="971">
      <c r="F971" s="64"/>
      <c r="G971" s="83"/>
      <c r="H971" s="83"/>
    </row>
    <row r="972">
      <c r="F972" s="64"/>
      <c r="G972" s="83"/>
      <c r="H972" s="83"/>
    </row>
    <row r="973">
      <c r="F973" s="64"/>
      <c r="G973" s="83"/>
      <c r="H973" s="83"/>
    </row>
    <row r="974">
      <c r="F974" s="64"/>
      <c r="G974" s="83"/>
      <c r="H974" s="83"/>
    </row>
    <row r="975">
      <c r="F975" s="64"/>
      <c r="G975" s="83"/>
      <c r="H975" s="83"/>
    </row>
    <row r="976">
      <c r="F976" s="64"/>
      <c r="G976" s="83"/>
      <c r="H976" s="83"/>
    </row>
    <row r="977">
      <c r="F977" s="64"/>
      <c r="G977" s="83"/>
      <c r="H977" s="83"/>
    </row>
    <row r="978">
      <c r="F978" s="64"/>
      <c r="G978" s="83"/>
      <c r="H978" s="83"/>
    </row>
    <row r="979">
      <c r="F979" s="64"/>
      <c r="G979" s="83"/>
      <c r="H979" s="83"/>
    </row>
    <row r="980">
      <c r="F980" s="64"/>
      <c r="G980" s="83"/>
      <c r="H980" s="83"/>
    </row>
    <row r="981">
      <c r="F981" s="64"/>
      <c r="G981" s="83"/>
      <c r="H981" s="83"/>
    </row>
    <row r="982">
      <c r="F982" s="64"/>
      <c r="G982" s="83"/>
      <c r="H982" s="83"/>
    </row>
    <row r="983">
      <c r="F983" s="64"/>
      <c r="G983" s="83"/>
      <c r="H983" s="83"/>
    </row>
    <row r="984">
      <c r="F984" s="64"/>
      <c r="G984" s="83"/>
      <c r="H984" s="83"/>
    </row>
    <row r="985">
      <c r="F985" s="64"/>
      <c r="G985" s="83"/>
      <c r="H985" s="83"/>
    </row>
    <row r="986">
      <c r="F986" s="64"/>
      <c r="G986" s="83"/>
      <c r="H986" s="83"/>
    </row>
    <row r="987">
      <c r="F987" s="64"/>
      <c r="G987" s="83"/>
      <c r="H987" s="83"/>
    </row>
    <row r="988">
      <c r="F988" s="64"/>
      <c r="G988" s="83"/>
      <c r="H988" s="83"/>
    </row>
    <row r="989">
      <c r="F989" s="64"/>
      <c r="G989" s="83"/>
      <c r="H989" s="83"/>
    </row>
    <row r="990">
      <c r="F990" s="64"/>
      <c r="G990" s="83"/>
      <c r="H990" s="83"/>
    </row>
    <row r="991">
      <c r="F991" s="64"/>
      <c r="G991" s="83"/>
      <c r="H991" s="83"/>
    </row>
    <row r="992">
      <c r="F992" s="64"/>
      <c r="G992" s="83"/>
      <c r="H992" s="83"/>
    </row>
    <row r="993">
      <c r="F993" s="64"/>
      <c r="G993" s="83"/>
      <c r="H993" s="83"/>
    </row>
    <row r="994">
      <c r="F994" s="64"/>
      <c r="G994" s="83"/>
      <c r="H994" s="83"/>
    </row>
    <row r="995">
      <c r="F995" s="64"/>
      <c r="G995" s="83"/>
      <c r="H995" s="83"/>
    </row>
    <row r="996">
      <c r="F996" s="64"/>
      <c r="G996" s="83"/>
      <c r="H996" s="83"/>
    </row>
    <row r="997">
      <c r="F997" s="64"/>
      <c r="G997" s="83"/>
      <c r="H997" s="83"/>
    </row>
    <row r="998">
      <c r="F998" s="64"/>
      <c r="G998" s="83"/>
      <c r="H998" s="83"/>
    </row>
    <row r="999">
      <c r="F999" s="64"/>
      <c r="H999" s="83"/>
    </row>
    <row r="1000">
      <c r="F1000" s="64"/>
      <c r="H1000" s="83"/>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I2:I51">
      <formula1>$A$2:$A$10</formula1>
    </dataValidation>
    <dataValidation type="list" allowBlank="1" sqref="A20:A21 A23 A25:A44">
      <formula1>$A$14:$A$17</formula1>
    </dataValidation>
  </dataValidations>
  <hyperlinks>
    <hyperlink display="Back to summary" location="Summary (micro)!A1" ref="B1"/>
    <hyperlink r:id="rId1" ref="B12"/>
  </hyperlinks>
  <drawing r:id="rId2"/>
</worksheet>
</file>