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orman\Desktop\Solomon\"/>
    </mc:Choice>
  </mc:AlternateContent>
  <xr:revisionPtr revIDLastSave="0" documentId="13_ncr:1_{A1AB3E64-0885-4F6F-8108-9A1926D56519}" xr6:coauthVersionLast="45" xr6:coauthVersionMax="45" xr10:uidLastSave="{00000000-0000-0000-0000-000000000000}"/>
  <bookViews>
    <workbookView xWindow="1728" yWindow="792" windowWidth="20448" windowHeight="10248" xr2:uid="{00000000-000D-0000-FFFF-FFFF00000000}"/>
  </bookViews>
  <sheets>
    <sheet name="Hopkinson Bar Calib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  <c r="F16" i="1"/>
  <c r="F17" i="1"/>
  <c r="F18" i="1"/>
  <c r="F19" i="1"/>
  <c r="B7" i="1" l="1"/>
  <c r="B6" i="1"/>
  <c r="B8" i="1" l="1"/>
  <c r="F12" i="1" l="1"/>
  <c r="F6" i="1"/>
  <c r="F10" i="1"/>
  <c r="F11" i="1"/>
  <c r="F7" i="1"/>
  <c r="F8" i="1"/>
  <c r="F5" i="1"/>
  <c r="L7" i="1" s="1" a="1"/>
  <c r="F3" i="1"/>
  <c r="F4" i="1"/>
  <c r="F9" i="1"/>
  <c r="F13" i="1"/>
  <c r="F14" i="1"/>
  <c r="M7" i="1" l="1"/>
  <c r="L8" i="1"/>
  <c r="L11" i="1"/>
  <c r="M11" i="1"/>
  <c r="L7" i="1"/>
  <c r="M10" i="1"/>
  <c r="L10" i="1"/>
  <c r="M9" i="1"/>
  <c r="M8" i="1"/>
  <c r="L9" i="1"/>
  <c r="G17" i="1" l="1"/>
  <c r="H17" i="1" s="1"/>
  <c r="I17" i="1" s="1"/>
  <c r="G19" i="1"/>
  <c r="H19" i="1" s="1"/>
  <c r="I19" i="1" s="1"/>
  <c r="G16" i="1"/>
  <c r="H16" i="1" s="1"/>
  <c r="I16" i="1" s="1"/>
  <c r="G18" i="1"/>
  <c r="H18" i="1" s="1"/>
  <c r="I18" i="1" s="1"/>
  <c r="G15" i="1"/>
  <c r="H15" i="1" s="1"/>
  <c r="I15" i="1" s="1"/>
  <c r="G3" i="1"/>
  <c r="H3" i="1" s="1"/>
  <c r="L13" i="1"/>
  <c r="G6" i="1"/>
  <c r="H6" i="1" s="1"/>
  <c r="I6" i="1" s="1"/>
  <c r="G14" i="1"/>
  <c r="H14" i="1" s="1"/>
  <c r="I14" i="1" s="1"/>
  <c r="G7" i="1"/>
  <c r="H7" i="1" s="1"/>
  <c r="I7" i="1" s="1"/>
  <c r="G10" i="1"/>
  <c r="H10" i="1" s="1"/>
  <c r="I10" i="1" s="1"/>
  <c r="G8" i="1"/>
  <c r="H8" i="1" s="1"/>
  <c r="I8" i="1" s="1"/>
  <c r="G4" i="1"/>
  <c r="H4" i="1" s="1"/>
  <c r="I4" i="1" s="1"/>
  <c r="G13" i="1"/>
  <c r="H13" i="1" s="1"/>
  <c r="I13" i="1" s="1"/>
  <c r="G9" i="1"/>
  <c r="H9" i="1" s="1"/>
  <c r="I9" i="1" s="1"/>
  <c r="G11" i="1"/>
  <c r="H11" i="1" s="1"/>
  <c r="I11" i="1" s="1"/>
  <c r="G12" i="1"/>
  <c r="H12" i="1" s="1"/>
  <c r="I12" i="1" s="1"/>
  <c r="G5" i="1"/>
  <c r="H5" i="1" s="1"/>
  <c r="I5" i="1" s="1"/>
  <c r="I3" i="1" l="1"/>
  <c r="L4" i="1" s="1"/>
  <c r="L5" i="1" s="1"/>
  <c r="L2" i="1"/>
  <c r="L3" i="1" s="1"/>
</calcChain>
</file>

<file path=xl/sharedStrings.xml><?xml version="1.0" encoding="utf-8"?>
<sst xmlns="http://schemas.openxmlformats.org/spreadsheetml/2006/main" count="40" uniqueCount="36">
  <si>
    <t>Load Cell (mV)</t>
  </si>
  <si>
    <t>Second Calibration</t>
  </si>
  <si>
    <t>Load Cell Parameters</t>
  </si>
  <si>
    <t>Excitation (VDC)</t>
  </si>
  <si>
    <t>Output (mV/V)</t>
  </si>
  <si>
    <t>Range (lbs)</t>
  </si>
  <si>
    <t>Full Scale Signal (mV)</t>
  </si>
  <si>
    <t>Full Scale Load (lbs)</t>
  </si>
  <si>
    <t>Sensitivity (lbs/mV)</t>
  </si>
  <si>
    <t>Strain Amplifier (V)</t>
  </si>
  <si>
    <t>Load - Measured (lbs)</t>
  </si>
  <si>
    <t>Load - Calculated (lbs)</t>
  </si>
  <si>
    <t>Deviation (lbs)</t>
  </si>
  <si>
    <t>Maximum Deviation from Linearity</t>
  </si>
  <si>
    <t>(+/-lbs)</t>
  </si>
  <si>
    <t>(% of full scale value)</t>
  </si>
  <si>
    <t>Variance (lbs^2)</t>
  </si>
  <si>
    <t>Intercept (lbs)</t>
  </si>
  <si>
    <t>r Sqaured</t>
  </si>
  <si>
    <t>Standard Error of slope (lbs/V)</t>
  </si>
  <si>
    <t>Standard Error of Offset (lbs)</t>
  </si>
  <si>
    <t>Standard Error of Load (lbs)</t>
  </si>
  <si>
    <t>F Statistic</t>
  </si>
  <si>
    <t>Degrees of Freedom</t>
  </si>
  <si>
    <t>Regression Sum of Squares</t>
  </si>
  <si>
    <t>Residual Sum of Squares</t>
  </si>
  <si>
    <t>Linearity Error</t>
  </si>
  <si>
    <t>(V)</t>
  </si>
  <si>
    <t>Voltage Offset</t>
  </si>
  <si>
    <t>Slope, aka. Sensitivity (lbs/V)</t>
  </si>
  <si>
    <t>Calibration Equation</t>
  </si>
  <si>
    <t>and X is the strain gauge amplifier voltage measured in volts</t>
  </si>
  <si>
    <t>Where, Y is the load measured in lbs</t>
  </si>
  <si>
    <t>Y = Slope * X + Intercept</t>
  </si>
  <si>
    <t>Date</t>
  </si>
  <si>
    <t>Nov 11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</si>
</sst>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E+00"/>
    <numFmt numFmtId="166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Hopkinson</a:t>
            </a:r>
            <a:r>
              <a:rPr lang="en-CA" baseline="0"/>
              <a:t> Bar Calibration - Compressive Load (Second Calibration Attempt)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Increasing Load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'Hopkinson Bar Calibration'!$E$3:$E$12</c:f>
              <c:numCache>
                <c:formatCode>General</c:formatCode>
                <c:ptCount val="10"/>
                <c:pt idx="0">
                  <c:v>-0.223</c:v>
                </c:pt>
                <c:pt idx="1">
                  <c:v>-0.22600000000000001</c:v>
                </c:pt>
                <c:pt idx="2">
                  <c:v>-0.22900000000000001</c:v>
                </c:pt>
                <c:pt idx="3">
                  <c:v>-0.23</c:v>
                </c:pt>
                <c:pt idx="4">
                  <c:v>-0.23200000000000001</c:v>
                </c:pt>
                <c:pt idx="5">
                  <c:v>-0.23499999999999999</c:v>
                </c:pt>
                <c:pt idx="6">
                  <c:v>-0.23799999999999999</c:v>
                </c:pt>
                <c:pt idx="7">
                  <c:v>-0.24199999999999999</c:v>
                </c:pt>
                <c:pt idx="8">
                  <c:v>-0.245</c:v>
                </c:pt>
                <c:pt idx="9">
                  <c:v>-0.253</c:v>
                </c:pt>
              </c:numCache>
            </c:numRef>
          </c:xVal>
          <c:yVal>
            <c:numRef>
              <c:f>'Hopkinson Bar Calibration'!$F$3:$F$12</c:f>
              <c:numCache>
                <c:formatCode>0.000E+00</c:formatCode>
                <c:ptCount val="10"/>
                <c:pt idx="0">
                  <c:v>-6.9976674441852715</c:v>
                </c:pt>
                <c:pt idx="1">
                  <c:v>177.7407530823059</c:v>
                </c:pt>
                <c:pt idx="2">
                  <c:v>396.60113295568146</c:v>
                </c:pt>
                <c:pt idx="3">
                  <c:v>458.38053982005999</c:v>
                </c:pt>
                <c:pt idx="4">
                  <c:v>633.12229256914361</c:v>
                </c:pt>
                <c:pt idx="5">
                  <c:v>782.47250916361213</c:v>
                </c:pt>
                <c:pt idx="6">
                  <c:v>946.48450516494506</c:v>
                </c:pt>
                <c:pt idx="7">
                  <c:v>1260.9796734421859</c:v>
                </c:pt>
                <c:pt idx="8">
                  <c:v>1529.8233922025991</c:v>
                </c:pt>
                <c:pt idx="9">
                  <c:v>2017.9940019993337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B5-4355-9084-FA651C309179}"/>
            </c:ext>
          </c:extLst>
        </c:ser>
        <c:ser>
          <c:idx val="0"/>
          <c:order val="1"/>
          <c:tx>
            <c:v>Decreasing Load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'Hopkinson Bar Calibration'!$E$14:$E$20</c:f>
              <c:numCache>
                <c:formatCode>General</c:formatCode>
                <c:ptCount val="7"/>
                <c:pt idx="0">
                  <c:v>-0.246</c:v>
                </c:pt>
                <c:pt idx="1">
                  <c:v>-0.24099999999999999</c:v>
                </c:pt>
                <c:pt idx="2">
                  <c:v>-0.23699999999999999</c:v>
                </c:pt>
                <c:pt idx="3">
                  <c:v>-0.23100000000000001</c:v>
                </c:pt>
                <c:pt idx="4">
                  <c:v>-0.22500000000000001</c:v>
                </c:pt>
                <c:pt idx="5">
                  <c:v>-0.224</c:v>
                </c:pt>
              </c:numCache>
            </c:numRef>
          </c:xVal>
          <c:yVal>
            <c:numRef>
              <c:f>'Hopkinson Bar Calibration'!$F$14:$F$20</c:f>
              <c:numCache>
                <c:formatCode>0.000E+00</c:formatCode>
                <c:ptCount val="7"/>
                <c:pt idx="0">
                  <c:v>1580.4731756081308</c:v>
                </c:pt>
                <c:pt idx="1">
                  <c:v>1229.3235588137291</c:v>
                </c:pt>
                <c:pt idx="2">
                  <c:v>927.42419193602143</c:v>
                </c:pt>
                <c:pt idx="3">
                  <c:v>504.6317894035322</c:v>
                </c:pt>
                <c:pt idx="4">
                  <c:v>99.900033322225937</c:v>
                </c:pt>
                <c:pt idx="5">
                  <c:v>-6.3978673775408206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B5-4355-9084-FA651C309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852687"/>
        <c:axId val="1661863919"/>
      </c:scatterChart>
      <c:valAx>
        <c:axId val="1661852687"/>
        <c:scaling>
          <c:orientation val="minMax"/>
          <c:max val="-0.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u="sng"/>
                  <a:t>Strain</a:t>
                </a:r>
                <a:r>
                  <a:rPr lang="en-CA" u="sng" baseline="0"/>
                  <a:t> Amplifier Voltage (V)</a:t>
                </a:r>
                <a:endParaRPr lang="en-CA" u="sn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863919"/>
        <c:crosses val="autoZero"/>
        <c:crossBetween val="midCat"/>
      </c:valAx>
      <c:valAx>
        <c:axId val="166186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u="sng"/>
                  <a:t>Compressive</a:t>
                </a:r>
                <a:r>
                  <a:rPr lang="en-CA" u="sng" baseline="0"/>
                  <a:t> Load (lbs)</a:t>
                </a:r>
                <a:endParaRPr lang="en-CA" u="sng"/>
              </a:p>
            </c:rich>
          </c:tx>
          <c:layout>
            <c:manualLayout>
              <c:xMode val="edge"/>
              <c:yMode val="edge"/>
              <c:x val="0.97869674185463662"/>
              <c:y val="0.352578690995389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852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33</xdr:row>
      <xdr:rowOff>180974</xdr:rowOff>
    </xdr:from>
    <xdr:to>
      <xdr:col>10</xdr:col>
      <xdr:colOff>857250</xdr:colOff>
      <xdr:row>58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B11" sqref="B11"/>
    </sheetView>
  </sheetViews>
  <sheetFormatPr defaultRowHeight="14.4" x14ac:dyDescent="0.3"/>
  <cols>
    <col min="1" max="1" width="20.44140625" customWidth="1"/>
    <col min="4" max="4" width="14" customWidth="1"/>
    <col min="5" max="5" width="17.6640625" bestFit="1" customWidth="1"/>
    <col min="6" max="6" width="19.6640625" customWidth="1"/>
    <col min="7" max="7" width="20.88671875" customWidth="1"/>
    <col min="8" max="10" width="15" customWidth="1"/>
    <col min="11" max="11" width="39.109375" customWidth="1"/>
  </cols>
  <sheetData>
    <row r="1" spans="1:14" x14ac:dyDescent="0.3">
      <c r="A1" s="1" t="s">
        <v>2</v>
      </c>
      <c r="D1" s="1" t="s">
        <v>1</v>
      </c>
    </row>
    <row r="2" spans="1:14" x14ac:dyDescent="0.3">
      <c r="A2" t="s">
        <v>3</v>
      </c>
      <c r="B2">
        <v>10</v>
      </c>
      <c r="D2" t="s">
        <v>0</v>
      </c>
      <c r="E2" t="s">
        <v>9</v>
      </c>
      <c r="F2" t="s">
        <v>10</v>
      </c>
      <c r="G2" t="s">
        <v>11</v>
      </c>
      <c r="H2" t="s">
        <v>12</v>
      </c>
      <c r="I2" t="s">
        <v>16</v>
      </c>
      <c r="K2" t="s">
        <v>13</v>
      </c>
      <c r="L2" s="4">
        <f>MAX(H3:H19)</f>
        <v>55.282578095944132</v>
      </c>
      <c r="M2" t="s">
        <v>14</v>
      </c>
    </row>
    <row r="3" spans="1:14" x14ac:dyDescent="0.3">
      <c r="A3" t="s">
        <v>4</v>
      </c>
      <c r="B3">
        <v>3.0009999999999999</v>
      </c>
      <c r="D3">
        <v>-0.105</v>
      </c>
      <c r="E3">
        <v>-0.223</v>
      </c>
      <c r="F3" s="3">
        <f t="shared" ref="F3:F19" si="0">D3*$B$8</f>
        <v>-6.9976674441852715</v>
      </c>
      <c r="G3" s="3">
        <f t="shared" ref="G3:G19" si="1" xml:space="preserve"> $L$7*E3 + $M$7</f>
        <v>-31.603916228312301</v>
      </c>
      <c r="H3" s="4">
        <f t="shared" ref="H3:H19" si="2">ABS(G3-F3)</f>
        <v>24.606248784127029</v>
      </c>
      <c r="I3" s="4">
        <f>H3^2</f>
        <v>605.46747922635291</v>
      </c>
      <c r="J3" s="4"/>
      <c r="K3" t="s">
        <v>13</v>
      </c>
      <c r="L3" s="4">
        <f>(L2/B4)*100</f>
        <v>2.7641289047972069</v>
      </c>
      <c r="M3" t="s">
        <v>15</v>
      </c>
    </row>
    <row r="4" spans="1:14" x14ac:dyDescent="0.3">
      <c r="A4" t="s">
        <v>5</v>
      </c>
      <c r="B4">
        <v>2000</v>
      </c>
      <c r="D4">
        <v>2.6669999999999998</v>
      </c>
      <c r="E4">
        <v>-0.22600000000000001</v>
      </c>
      <c r="F4" s="3">
        <f t="shared" si="0"/>
        <v>177.7407530823059</v>
      </c>
      <c r="G4" s="3">
        <f t="shared" si="1"/>
        <v>175.07028366952909</v>
      </c>
      <c r="H4" s="4">
        <f t="shared" si="2"/>
        <v>2.6704694127768107</v>
      </c>
      <c r="I4" s="4">
        <f t="shared" ref="I4:I19" si="3">H4^2</f>
        <v>7.1314068845765242</v>
      </c>
      <c r="J4" s="4"/>
      <c r="K4" t="s">
        <v>26</v>
      </c>
      <c r="L4" s="4">
        <f>SQRT( SUM(I3:I19)/(COUNT(I3:I19)-1) )</f>
        <v>27.903218369170197</v>
      </c>
      <c r="M4" t="s">
        <v>14</v>
      </c>
    </row>
    <row r="5" spans="1:14" x14ac:dyDescent="0.3">
      <c r="D5">
        <v>5.9509999999999996</v>
      </c>
      <c r="E5">
        <v>-0.22900000000000001</v>
      </c>
      <c r="F5" s="3">
        <f t="shared" si="0"/>
        <v>396.60113295568146</v>
      </c>
      <c r="G5" s="3">
        <f t="shared" si="1"/>
        <v>381.74448356737048</v>
      </c>
      <c r="H5" s="4">
        <f t="shared" si="2"/>
        <v>14.856649388310984</v>
      </c>
      <c r="I5" s="4">
        <f t="shared" si="3"/>
        <v>220.72003104720113</v>
      </c>
      <c r="J5" s="4"/>
      <c r="K5" t="s">
        <v>26</v>
      </c>
      <c r="L5" s="4">
        <f>(L4/B4)*100</f>
        <v>1.3951609184585099</v>
      </c>
      <c r="M5" t="s">
        <v>15</v>
      </c>
    </row>
    <row r="6" spans="1:14" x14ac:dyDescent="0.3">
      <c r="A6" t="s">
        <v>6</v>
      </c>
      <c r="B6">
        <f>B3*B2</f>
        <v>30.009999999999998</v>
      </c>
      <c r="D6">
        <v>6.8780000000000001</v>
      </c>
      <c r="E6">
        <v>-0.23</v>
      </c>
      <c r="F6" s="3">
        <f t="shared" si="0"/>
        <v>458.38053982005999</v>
      </c>
      <c r="G6" s="3">
        <f t="shared" si="1"/>
        <v>450.63588353331579</v>
      </c>
      <c r="H6" s="4">
        <f t="shared" si="2"/>
        <v>7.7446562867442026</v>
      </c>
      <c r="I6" s="4">
        <f t="shared" si="3"/>
        <v>59.979700999806504</v>
      </c>
      <c r="J6" s="4"/>
    </row>
    <row r="7" spans="1:14" x14ac:dyDescent="0.3">
      <c r="A7" t="s">
        <v>7</v>
      </c>
      <c r="B7">
        <f>B4</f>
        <v>2000</v>
      </c>
      <c r="D7">
        <v>9.5</v>
      </c>
      <c r="E7">
        <v>-0.23200000000000001</v>
      </c>
      <c r="F7" s="3">
        <f t="shared" si="0"/>
        <v>633.12229256914361</v>
      </c>
      <c r="G7" s="3">
        <f t="shared" si="1"/>
        <v>588.41868346521005</v>
      </c>
      <c r="H7" s="4">
        <f t="shared" si="2"/>
        <v>44.703609103933559</v>
      </c>
      <c r="I7" s="4">
        <f t="shared" si="3"/>
        <v>1998.4126669172913</v>
      </c>
      <c r="J7" s="4"/>
      <c r="K7" s="5" t="s">
        <v>29</v>
      </c>
      <c r="L7">
        <f t="array" ref="L7:M11">LINEST(F3:F19,E3:E19,TRUE,TRUE)</f>
        <v>-68891.399965946941</v>
      </c>
      <c r="M7">
        <v>-15394.38610863448</v>
      </c>
      <c r="N7" t="s">
        <v>17</v>
      </c>
    </row>
    <row r="8" spans="1:14" x14ac:dyDescent="0.3">
      <c r="A8" t="s">
        <v>8</v>
      </c>
      <c r="B8" s="2">
        <f>B7/B6</f>
        <v>66.644451849383543</v>
      </c>
      <c r="D8">
        <v>11.741</v>
      </c>
      <c r="E8">
        <v>-0.23499999999999999</v>
      </c>
      <c r="F8" s="3">
        <f t="shared" si="0"/>
        <v>782.47250916361213</v>
      </c>
      <c r="G8" s="3">
        <f t="shared" si="1"/>
        <v>795.09288336304962</v>
      </c>
      <c r="H8" s="4">
        <f t="shared" si="2"/>
        <v>12.620374199437492</v>
      </c>
      <c r="I8" s="4">
        <f t="shared" si="3"/>
        <v>159.27384493382752</v>
      </c>
      <c r="J8" s="4"/>
      <c r="K8" s="5" t="s">
        <v>19</v>
      </c>
      <c r="L8">
        <v>747.64191447395604</v>
      </c>
      <c r="M8">
        <v>176.49398582674729</v>
      </c>
      <c r="N8" t="s">
        <v>20</v>
      </c>
    </row>
    <row r="9" spans="1:14" x14ac:dyDescent="0.3">
      <c r="D9">
        <v>14.202</v>
      </c>
      <c r="E9">
        <v>-0.23799999999999999</v>
      </c>
      <c r="F9" s="3">
        <f t="shared" si="0"/>
        <v>946.48450516494506</v>
      </c>
      <c r="G9" s="3">
        <f t="shared" si="1"/>
        <v>1001.7670832608892</v>
      </c>
      <c r="H9" s="4">
        <f t="shared" si="2"/>
        <v>55.282578095944132</v>
      </c>
      <c r="I9" s="4">
        <f t="shared" si="3"/>
        <v>3056.1634409341618</v>
      </c>
      <c r="J9" s="4"/>
      <c r="K9" s="5" t="s">
        <v>18</v>
      </c>
      <c r="L9">
        <v>0.99823647364485657</v>
      </c>
      <c r="M9">
        <v>28.818320013169767</v>
      </c>
      <c r="N9" t="s">
        <v>21</v>
      </c>
    </row>
    <row r="10" spans="1:14" x14ac:dyDescent="0.3">
      <c r="A10" t="s">
        <v>34</v>
      </c>
      <c r="B10" t="s">
        <v>35</v>
      </c>
      <c r="D10">
        <v>18.920999999999999</v>
      </c>
      <c r="E10">
        <v>-0.24199999999999999</v>
      </c>
      <c r="F10" s="3">
        <f t="shared" si="0"/>
        <v>1260.9796734421859</v>
      </c>
      <c r="G10" s="3">
        <f t="shared" si="1"/>
        <v>1277.3326831246777</v>
      </c>
      <c r="H10" s="4">
        <f t="shared" si="2"/>
        <v>16.353009682491802</v>
      </c>
      <c r="I10" s="4">
        <f t="shared" si="3"/>
        <v>267.42092567567062</v>
      </c>
      <c r="J10" s="4"/>
      <c r="K10" s="5" t="s">
        <v>22</v>
      </c>
      <c r="L10">
        <v>8490.6851893655166</v>
      </c>
      <c r="M10">
        <v>15</v>
      </c>
      <c r="N10" t="s">
        <v>23</v>
      </c>
    </row>
    <row r="11" spans="1:14" x14ac:dyDescent="0.3">
      <c r="D11">
        <v>22.954999999999998</v>
      </c>
      <c r="E11">
        <v>-0.245</v>
      </c>
      <c r="F11" s="3">
        <f t="shared" si="0"/>
        <v>1529.8233922025991</v>
      </c>
      <c r="G11" s="3">
        <f t="shared" si="1"/>
        <v>1484.0068830225209</v>
      </c>
      <c r="H11" s="4">
        <f t="shared" si="2"/>
        <v>45.816509180078128</v>
      </c>
      <c r="I11" s="4">
        <f t="shared" si="3"/>
        <v>2099.1525134481835</v>
      </c>
      <c r="J11" s="4"/>
      <c r="K11" s="5" t="s">
        <v>24</v>
      </c>
      <c r="L11">
        <v>7051476.4222901687</v>
      </c>
      <c r="M11">
        <v>12457.433525721917</v>
      </c>
      <c r="N11" t="s">
        <v>25</v>
      </c>
    </row>
    <row r="12" spans="1:14" x14ac:dyDescent="0.3">
      <c r="D12">
        <v>30.28</v>
      </c>
      <c r="E12">
        <v>-0.253</v>
      </c>
      <c r="F12" s="3">
        <f t="shared" si="0"/>
        <v>2017.9940019993337</v>
      </c>
      <c r="G12" s="3">
        <f t="shared" si="1"/>
        <v>2035.1380827500943</v>
      </c>
      <c r="H12" s="4">
        <f t="shared" si="2"/>
        <v>17.144080750760622</v>
      </c>
      <c r="I12" s="4">
        <f t="shared" si="3"/>
        <v>293.91950478860088</v>
      </c>
      <c r="J12" s="4"/>
    </row>
    <row r="13" spans="1:14" x14ac:dyDescent="0.3">
      <c r="D13">
        <v>30.28</v>
      </c>
      <c r="E13">
        <v>-0.253</v>
      </c>
      <c r="F13" s="3">
        <f t="shared" si="0"/>
        <v>2017.9940019993337</v>
      </c>
      <c r="G13" s="3">
        <f t="shared" si="1"/>
        <v>2035.1380827500943</v>
      </c>
      <c r="H13" s="4">
        <f t="shared" si="2"/>
        <v>17.144080750760622</v>
      </c>
      <c r="I13" s="4">
        <f t="shared" si="3"/>
        <v>293.91950478860088</v>
      </c>
      <c r="J13" s="4"/>
      <c r="K13" s="7" t="s">
        <v>28</v>
      </c>
      <c r="L13">
        <f>(0-$M$7)/$L$7</f>
        <v>-0.22345874980395136</v>
      </c>
      <c r="M13" t="s">
        <v>27</v>
      </c>
    </row>
    <row r="14" spans="1:14" x14ac:dyDescent="0.3">
      <c r="D14">
        <v>23.715</v>
      </c>
      <c r="E14">
        <v>-0.246</v>
      </c>
      <c r="F14" s="3">
        <f t="shared" si="0"/>
        <v>1580.4731756081308</v>
      </c>
      <c r="G14" s="3">
        <f t="shared" si="1"/>
        <v>1552.8982829884662</v>
      </c>
      <c r="H14" s="4">
        <f t="shared" si="2"/>
        <v>27.574892619664524</v>
      </c>
      <c r="I14" s="4">
        <f t="shared" si="3"/>
        <v>760.37470298602909</v>
      </c>
      <c r="J14" s="4"/>
      <c r="K14" s="7"/>
    </row>
    <row r="15" spans="1:14" x14ac:dyDescent="0.3">
      <c r="D15">
        <v>18.446000000000002</v>
      </c>
      <c r="E15">
        <v>-0.24099999999999999</v>
      </c>
      <c r="F15" s="3">
        <f t="shared" si="0"/>
        <v>1229.3235588137291</v>
      </c>
      <c r="G15" s="3">
        <f t="shared" si="1"/>
        <v>1208.4412831587324</v>
      </c>
      <c r="H15" s="4">
        <f t="shared" si="2"/>
        <v>20.882275654996647</v>
      </c>
      <c r="I15" s="4">
        <f t="shared" si="3"/>
        <v>436.06943653126564</v>
      </c>
      <c r="J15" s="4"/>
      <c r="K15" s="5" t="s">
        <v>30</v>
      </c>
      <c r="L15" s="6" t="s">
        <v>33</v>
      </c>
    </row>
    <row r="16" spans="1:14" x14ac:dyDescent="0.3">
      <c r="D16">
        <v>13.916</v>
      </c>
      <c r="E16">
        <v>-0.23699999999999999</v>
      </c>
      <c r="F16" s="3">
        <f t="shared" si="0"/>
        <v>927.42419193602143</v>
      </c>
      <c r="G16" s="3">
        <f t="shared" si="1"/>
        <v>932.87568329494388</v>
      </c>
      <c r="H16" s="4">
        <f t="shared" si="2"/>
        <v>5.4514913589224534</v>
      </c>
      <c r="I16" s="4">
        <f t="shared" si="3"/>
        <v>29.718758036406179</v>
      </c>
      <c r="J16" s="4"/>
      <c r="L16" s="6" t="s">
        <v>32</v>
      </c>
    </row>
    <row r="17" spans="4:12" x14ac:dyDescent="0.3">
      <c r="D17">
        <v>7.5720000000000001</v>
      </c>
      <c r="E17">
        <v>-0.23100000000000001</v>
      </c>
      <c r="F17" s="3">
        <f t="shared" si="0"/>
        <v>504.6317894035322</v>
      </c>
      <c r="G17" s="3">
        <f t="shared" si="1"/>
        <v>519.52728349926292</v>
      </c>
      <c r="H17" s="4">
        <f t="shared" si="2"/>
        <v>14.895494095730726</v>
      </c>
      <c r="I17" s="4">
        <f t="shared" si="3"/>
        <v>221.87574435594891</v>
      </c>
      <c r="J17" s="4"/>
      <c r="L17" s="6" t="s">
        <v>31</v>
      </c>
    </row>
    <row r="18" spans="4:12" x14ac:dyDescent="0.3">
      <c r="D18">
        <v>1.4990000000000001</v>
      </c>
      <c r="E18">
        <v>-0.22500000000000001</v>
      </c>
      <c r="F18" s="3">
        <f t="shared" si="0"/>
        <v>99.900033322225937</v>
      </c>
      <c r="G18" s="3">
        <f t="shared" si="1"/>
        <v>106.17888370358196</v>
      </c>
      <c r="H18" s="4">
        <f t="shared" si="2"/>
        <v>6.2788503813560226</v>
      </c>
      <c r="I18" s="4">
        <f t="shared" si="3"/>
        <v>39.423962111454671</v>
      </c>
      <c r="J18" s="4"/>
    </row>
    <row r="19" spans="4:12" x14ac:dyDescent="0.3">
      <c r="D19">
        <v>-9.6000000000000002E-2</v>
      </c>
      <c r="E19">
        <v>-0.224</v>
      </c>
      <c r="F19" s="3">
        <f t="shared" si="0"/>
        <v>-6.3978673775408206</v>
      </c>
      <c r="G19" s="3">
        <f t="shared" si="1"/>
        <v>37.28748373763483</v>
      </c>
      <c r="H19" s="4">
        <f t="shared" si="2"/>
        <v>43.685351115175649</v>
      </c>
      <c r="I19" s="4">
        <f t="shared" si="3"/>
        <v>1908.4099020561785</v>
      </c>
      <c r="J19" s="4"/>
    </row>
    <row r="20" spans="4:12" x14ac:dyDescent="0.3">
      <c r="F20" s="3"/>
      <c r="G20" s="4"/>
      <c r="H20" s="4"/>
      <c r="I20" s="4"/>
      <c r="J20" s="4"/>
    </row>
    <row r="25" spans="4:12" s="4" customFormat="1" x14ac:dyDescent="0.3"/>
    <row r="26" spans="4:12" s="4" customForma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Hopkinson Bar 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Norman</cp:lastModifiedBy>
  <dcterms:created xsi:type="dcterms:W3CDTF">2020-11-10T15:07:16Z</dcterms:created>
  <dcterms:modified xsi:type="dcterms:W3CDTF">2020-11-19T20:20:38Z</dcterms:modified>
</cp:coreProperties>
</file>