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S_Course\Methane_Point_Detection\Sentinel-2_Algeria_Methane\Data\"/>
    </mc:Choice>
  </mc:AlternateContent>
  <xr:revisionPtr revIDLastSave="0" documentId="13_ncr:1_{4C936634-F9AC-4797-B986-EA63379ADE55}" xr6:coauthVersionLast="47" xr6:coauthVersionMax="47" xr10:uidLastSave="{00000000-0000-0000-0000-000000000000}"/>
  <bookViews>
    <workbookView xWindow="-120" yWindow="-120" windowWidth="20640" windowHeight="11040" activeTab="2" xr2:uid="{74612387-FD74-4A34-93E0-277F276CE390}"/>
  </bookViews>
  <sheets>
    <sheet name="Plume Training" sheetId="6" r:id="rId1"/>
    <sheet name="Old" sheetId="9" r:id="rId2"/>
    <sheet name="Sheet1" sheetId="12" r:id="rId3"/>
    <sheet name="New" sheetId="10" r:id="rId4"/>
    <sheet name="Sheet2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2" i="12"/>
  <c r="I18" i="6"/>
  <c r="J18" i="6"/>
  <c r="R18" i="6"/>
  <c r="S18" i="6"/>
  <c r="T18" i="6"/>
  <c r="L3" i="6"/>
  <c r="L4" i="6"/>
  <c r="L5" i="6"/>
  <c r="L6" i="6"/>
  <c r="L7" i="6"/>
  <c r="L8" i="6"/>
  <c r="L9" i="6"/>
  <c r="L10" i="6"/>
  <c r="L11" i="6"/>
  <c r="L12" i="6"/>
  <c r="L13" i="6"/>
  <c r="L14" i="6"/>
  <c r="L17" i="6"/>
  <c r="L18" i="6"/>
  <c r="L2" i="6"/>
  <c r="I5" i="6"/>
  <c r="I6" i="6"/>
  <c r="I7" i="6"/>
  <c r="I8" i="6"/>
  <c r="H20" i="10"/>
  <c r="O2" i="9"/>
  <c r="O3" i="9"/>
  <c r="O4" i="9"/>
  <c r="O5" i="9"/>
  <c r="O6" i="9"/>
  <c r="O7" i="9"/>
  <c r="O8" i="9"/>
  <c r="O9" i="9"/>
  <c r="O10" i="9"/>
  <c r="O12" i="9"/>
  <c r="O13" i="9"/>
  <c r="O14" i="9"/>
  <c r="O15" i="9"/>
  <c r="O16" i="9"/>
  <c r="O17" i="9"/>
  <c r="H81" i="10"/>
  <c r="H76" i="10"/>
  <c r="H73" i="10"/>
  <c r="H71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1" i="10"/>
  <c r="H22" i="10"/>
  <c r="H23" i="10"/>
  <c r="H24" i="10"/>
  <c r="H25" i="10"/>
  <c r="H26" i="10"/>
  <c r="H28" i="10"/>
  <c r="H30" i="10"/>
  <c r="H31" i="10"/>
  <c r="H32" i="10"/>
  <c r="H33" i="10"/>
  <c r="H34" i="10"/>
  <c r="H36" i="10"/>
  <c r="H37" i="10"/>
  <c r="H38" i="10"/>
  <c r="H39" i="10"/>
  <c r="H40" i="10"/>
  <c r="H41" i="10"/>
  <c r="H42" i="10"/>
  <c r="H43" i="10"/>
  <c r="H44" i="10"/>
  <c r="H46" i="10"/>
  <c r="H47" i="10"/>
  <c r="H49" i="10"/>
  <c r="H50" i="10"/>
  <c r="H51" i="10"/>
  <c r="H53" i="10"/>
  <c r="H58" i="10"/>
  <c r="H62" i="10"/>
  <c r="H65" i="10"/>
  <c r="H68" i="10"/>
  <c r="H70" i="10"/>
  <c r="H72" i="10"/>
  <c r="H74" i="10"/>
  <c r="H75" i="10"/>
  <c r="H77" i="10"/>
  <c r="H78" i="10"/>
  <c r="H79" i="10"/>
  <c r="H80" i="10"/>
  <c r="H83" i="10"/>
  <c r="H85" i="10"/>
  <c r="H87" i="10"/>
  <c r="H89" i="10"/>
  <c r="H91" i="10"/>
  <c r="H92" i="10"/>
  <c r="H93" i="10"/>
  <c r="H96" i="10"/>
  <c r="H2" i="10"/>
  <c r="J11" i="9"/>
  <c r="L2" i="9"/>
  <c r="L3" i="9"/>
  <c r="L4" i="9"/>
  <c r="L5" i="9"/>
  <c r="L6" i="9"/>
  <c r="L7" i="9"/>
  <c r="L8" i="9"/>
  <c r="L9" i="9"/>
  <c r="L10" i="9"/>
  <c r="L12" i="9"/>
  <c r="L13" i="9"/>
  <c r="L14" i="9"/>
  <c r="L15" i="9"/>
  <c r="L16" i="9"/>
  <c r="L17" i="9"/>
  <c r="W3" i="9"/>
  <c r="V3" i="9"/>
  <c r="U3" i="9"/>
  <c r="J3" i="9"/>
  <c r="I3" i="9"/>
  <c r="W11" i="9"/>
  <c r="V11" i="9"/>
  <c r="U11" i="9"/>
  <c r="I11" i="9"/>
  <c r="W12" i="9"/>
  <c r="V12" i="9"/>
  <c r="U12" i="9"/>
  <c r="J12" i="9"/>
  <c r="I12" i="9"/>
  <c r="W13" i="9"/>
  <c r="V13" i="9"/>
  <c r="U13" i="9"/>
  <c r="J13" i="9"/>
  <c r="I13" i="9"/>
  <c r="W14" i="9"/>
  <c r="V14" i="9"/>
  <c r="U14" i="9"/>
  <c r="J14" i="9"/>
  <c r="I14" i="9"/>
  <c r="W4" i="9"/>
  <c r="V4" i="9"/>
  <c r="U4" i="9"/>
  <c r="J4" i="9"/>
  <c r="I4" i="9"/>
  <c r="W15" i="9"/>
  <c r="V15" i="9"/>
  <c r="U15" i="9"/>
  <c r="J15" i="9"/>
  <c r="I15" i="9"/>
  <c r="W10" i="9"/>
  <c r="V10" i="9"/>
  <c r="U10" i="9"/>
  <c r="J10" i="9"/>
  <c r="I10" i="9"/>
  <c r="W9" i="9"/>
  <c r="V9" i="9"/>
  <c r="U9" i="9"/>
  <c r="J9" i="9"/>
  <c r="I9" i="9"/>
  <c r="W8" i="9"/>
  <c r="V8" i="9"/>
  <c r="U8" i="9"/>
  <c r="J8" i="9"/>
  <c r="W7" i="9"/>
  <c r="V7" i="9"/>
  <c r="U7" i="9"/>
  <c r="J7" i="9"/>
  <c r="I7" i="9"/>
  <c r="W6" i="9"/>
  <c r="V6" i="9"/>
  <c r="U6" i="9"/>
  <c r="J6" i="9"/>
  <c r="I6" i="9"/>
  <c r="W5" i="9"/>
  <c r="V5" i="9"/>
  <c r="U5" i="9"/>
  <c r="J5" i="9"/>
  <c r="I5" i="9"/>
  <c r="W2" i="9"/>
  <c r="V2" i="9"/>
  <c r="U2" i="9"/>
  <c r="J2" i="9"/>
  <c r="I2" i="9"/>
  <c r="W17" i="9"/>
  <c r="V17" i="9"/>
  <c r="U17" i="9"/>
  <c r="J17" i="9"/>
  <c r="I17" i="9"/>
  <c r="W16" i="9"/>
  <c r="V16" i="9"/>
  <c r="U16" i="9"/>
  <c r="J16" i="9"/>
  <c r="I16" i="9"/>
  <c r="S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R2" i="6"/>
  <c r="T17" i="6"/>
  <c r="R17" i="6"/>
  <c r="I17" i="6"/>
  <c r="T16" i="6"/>
  <c r="R16" i="6"/>
  <c r="I16" i="6"/>
  <c r="T15" i="6"/>
  <c r="R15" i="6"/>
  <c r="I15" i="6"/>
  <c r="T14" i="6"/>
  <c r="R14" i="6"/>
  <c r="I14" i="6"/>
  <c r="T13" i="6"/>
  <c r="R13" i="6"/>
  <c r="I13" i="6"/>
  <c r="T12" i="6"/>
  <c r="R12" i="6"/>
  <c r="I12" i="6"/>
  <c r="T11" i="6"/>
  <c r="R11" i="6"/>
  <c r="I11" i="6"/>
  <c r="T10" i="6"/>
  <c r="R10" i="6"/>
  <c r="I10" i="6"/>
  <c r="T9" i="6"/>
  <c r="R9" i="6"/>
  <c r="I9" i="6"/>
  <c r="T8" i="6"/>
  <c r="R8" i="6"/>
  <c r="T7" i="6"/>
  <c r="R7" i="6"/>
  <c r="T6" i="6"/>
  <c r="R6" i="6"/>
  <c r="T5" i="6"/>
  <c r="R5" i="6"/>
  <c r="T4" i="6"/>
  <c r="R4" i="6"/>
  <c r="I4" i="6"/>
  <c r="T3" i="6"/>
  <c r="R3" i="6"/>
  <c r="I3" i="6"/>
  <c r="I2" i="6" l="1"/>
  <c r="T2" i="6"/>
</calcChain>
</file>

<file path=xl/sharedStrings.xml><?xml version="1.0" encoding="utf-8"?>
<sst xmlns="http://schemas.openxmlformats.org/spreadsheetml/2006/main" count="186" uniqueCount="74">
  <si>
    <t>Plume</t>
  </si>
  <si>
    <t>Lat</t>
  </si>
  <si>
    <t>Long</t>
  </si>
  <si>
    <t>Gorroño et al., 2023</t>
  </si>
  <si>
    <t>Pandey et al., 2023</t>
  </si>
  <si>
    <t>Q kg h−1</t>
  </si>
  <si>
    <t>Radman et al. 2023</t>
  </si>
  <si>
    <t>Model Q kg h−1</t>
  </si>
  <si>
    <t>Source</t>
  </si>
  <si>
    <t xml:space="preserve">CS Sum (dig. num.) </t>
  </si>
  <si>
    <t>Wind m/s</t>
  </si>
  <si>
    <t>Q ± kg h−1</t>
  </si>
  <si>
    <t>Platform</t>
  </si>
  <si>
    <t>Sentinel-2</t>
  </si>
  <si>
    <t>Overpass time</t>
  </si>
  <si>
    <t>Varon et al., 2021</t>
  </si>
  <si>
    <t>Sanchez-Garcia et al., 2021</t>
  </si>
  <si>
    <t>PRISMA</t>
  </si>
  <si>
    <t>ISS EMI</t>
  </si>
  <si>
    <t>Carbon Mapper Website</t>
  </si>
  <si>
    <t>difference</t>
  </si>
  <si>
    <t>Active_date</t>
  </si>
  <si>
    <t>No_date</t>
  </si>
  <si>
    <t>Naus et al. 2023</t>
  </si>
  <si>
    <t>Width</t>
  </si>
  <si>
    <t>% diff</t>
  </si>
  <si>
    <t xml:space="preserve">Length </t>
  </si>
  <si>
    <t>unc %</t>
  </si>
  <si>
    <t>31.8066, 6.1545</t>
  </si>
  <si>
    <t>31.8647, 6.1736</t>
  </si>
  <si>
    <t>31.6585, 5.9053</t>
  </si>
  <si>
    <t>31.769, 6.0015</t>
  </si>
  <si>
    <t>31.7789, 5.9952</t>
  </si>
  <si>
    <t>31.7981, 6.0107</t>
  </si>
  <si>
    <t>31.659, 5.9055</t>
  </si>
  <si>
    <t>31.7775, 5.9954</t>
  </si>
  <si>
    <t>31.7772, 5.9934</t>
  </si>
  <si>
    <t>31.7571, 6.1684</t>
  </si>
  <si>
    <t>31.6172, 5.9674</t>
  </si>
  <si>
    <t>31.7776, 5.9917</t>
  </si>
  <si>
    <t>31.7692, 5.9987</t>
  </si>
  <si>
    <t>31.7341, 5.9677</t>
  </si>
  <si>
    <t>31.7569, 5.9422</t>
  </si>
  <si>
    <t>31.6591, 5.9044</t>
  </si>
  <si>
    <t>Location</t>
  </si>
  <si>
    <t>Q kg t−1</t>
  </si>
  <si>
    <t>Model Q kg t−1</t>
  </si>
  <si>
    <t>Site</t>
  </si>
  <si>
    <t>Study Q</t>
  </si>
  <si>
    <t>IME Q</t>
  </si>
  <si>
    <t>Within ± of study Q?</t>
  </si>
  <si>
    <t>Yes</t>
  </si>
  <si>
    <t>CSF Q kg−1</t>
  </si>
  <si>
    <t>CSF Q t−1</t>
  </si>
  <si>
    <t xml:space="preserve"> - </t>
  </si>
  <si>
    <t>Could not detect</t>
  </si>
  <si>
    <t>Study t−1</t>
  </si>
  <si>
    <t>Q kg t/h</t>
  </si>
  <si>
    <t>SZA</t>
  </si>
  <si>
    <t>RCSS</t>
  </si>
  <si>
    <t xml:space="preserve">PL </t>
  </si>
  <si>
    <t>PW</t>
  </si>
  <si>
    <t>Wind</t>
  </si>
  <si>
    <t>Actual</t>
  </si>
  <si>
    <t>Predicted</t>
  </si>
  <si>
    <t>CSS Q</t>
  </si>
  <si>
    <t>IME Q t-1</t>
  </si>
  <si>
    <t>PPS</t>
  </si>
  <si>
    <t>IME</t>
  </si>
  <si>
    <t>IME2</t>
  </si>
  <si>
    <t>QM (kg/h)</t>
  </si>
  <si>
    <t>QIME (kg/h)</t>
  </si>
  <si>
    <t>QIME (t/h)</t>
  </si>
  <si>
    <t>QM (t/h)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</si>
</sst>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"/>
    <numFmt numFmtId="166" formatCode="0.00000000"/>
    <numFmt numFmtId="167" formatCode="yyyy\-mm\-dd;@"/>
  </numFmts>
  <fonts count="6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rgb="FF000000"/>
      <name val="Aptos Narrow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2" fontId="0" fillId="0" borderId="0" xfId="0" applyNumberFormat="1"/>
    <xf numFmtId="0" fontId="5" fillId="0" borderId="0" xfId="0" applyFont="1"/>
  </cellXfs>
  <cellStyles count="1">
    <cellStyle name="Normal" xfId="0" builtinId="0"/>
  </cellStyles>
  <dxfs count="73">
    <dxf>
      <numFmt numFmtId="165" formatCode="0.000"/>
    </dxf>
    <dxf>
      <numFmt numFmtId="166" formatCode="0.00000000"/>
    </dxf>
    <dxf>
      <numFmt numFmtId="1" formatCode="0"/>
    </dxf>
    <dxf>
      <numFmt numFmtId="1" formatCode="0"/>
    </dxf>
    <dxf>
      <numFmt numFmtId="167" formatCode="yyyy\-mm\-dd;@"/>
    </dxf>
    <dxf>
      <numFmt numFmtId="167" formatCode="yyyy\-mm\-dd;@"/>
    </dxf>
    <dxf>
      <numFmt numFmtId="164" formatCode="[$-F400]h:mm:ss\ AM/PM"/>
    </dxf>
    <dxf>
      <numFmt numFmtId="164" formatCode="[$-F400]h:mm:ss\ AM/PM"/>
      <fill>
        <patternFill patternType="none">
          <fgColor indexed="64"/>
          <bgColor indexed="65"/>
        </patternFill>
      </fill>
    </dxf>
    <dxf>
      <numFmt numFmtId="1" formatCode="0"/>
    </dxf>
    <dxf>
      <numFmt numFmtId="1" formatCode="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" formatCode="0"/>
    </dxf>
    <dxf>
      <numFmt numFmtId="165" formatCode="0.000"/>
    </dxf>
    <dxf>
      <numFmt numFmtId="1" formatCode="0"/>
    </dxf>
    <dxf>
      <numFmt numFmtId="1" formatCode="0"/>
    </dxf>
    <dxf>
      <numFmt numFmtId="1" formatCode="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  <fill>
        <patternFill patternType="none">
          <fgColor indexed="64"/>
          <bgColor indexed="65"/>
        </patternFill>
      </fill>
    </dxf>
    <dxf>
      <numFmt numFmtId="166" formatCode="0.00000000"/>
    </dxf>
    <dxf>
      <numFmt numFmtId="166" formatCode="0.00000000"/>
      <fill>
        <patternFill patternType="none">
          <fgColor indexed="64"/>
          <bgColor indexed="65"/>
        </patternFill>
      </fill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7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  <alignment horizontal="general" vertical="bottom" textRotation="0" wrapText="1" indent="0" justifyLastLine="0" shrinkToFit="0" readingOrder="0"/>
    </dxf>
    <dxf>
      <numFmt numFmtId="167" formatCode="yyyy\-mm\-dd;@"/>
    </dxf>
    <dxf>
      <font>
        <b val="0"/>
        <strike val="0"/>
        <outline val="0"/>
        <shadow val="0"/>
        <u val="none"/>
        <vertAlign val="baseline"/>
        <sz val="11"/>
        <color rgb="FF000000"/>
        <name val="Aptos Narrow"/>
        <scheme val="minor"/>
      </font>
      <alignment horizontal="general" vertical="bottom" textRotation="0" wrapText="1" indent="0" justifyLastLine="0" shrinkToFit="0" readingOrder="0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4" formatCode="[$-F400]h:mm:ss\ AM/PM"/>
    </dxf>
    <dxf>
      <numFmt numFmtId="164" formatCode="[$-F400]h:mm:ss\ AM/PM"/>
      <fill>
        <patternFill patternType="none">
          <fgColor indexed="64"/>
          <bgColor indexed="65"/>
        </patternFill>
      </fill>
    </dxf>
    <dxf>
      <numFmt numFmtId="1" formatCode="0"/>
    </dxf>
    <dxf>
      <numFmt numFmtId="1" formatCode="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" formatCode="0"/>
    </dxf>
    <dxf>
      <numFmt numFmtId="165" formatCode="0.000"/>
    </dxf>
    <dxf>
      <numFmt numFmtId="1" formatCode="0"/>
    </dxf>
    <dxf>
      <numFmt numFmtId="1" formatCode="0"/>
    </dxf>
    <dxf>
      <numFmt numFmtId="1" formatCode="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5" formatCode="0.000"/>
    </dxf>
    <dxf>
      <numFmt numFmtId="165" formatCode="0.000"/>
    </dxf>
    <dxf>
      <numFmt numFmtId="165" formatCode="0.000"/>
    </dxf>
    <dxf>
      <numFmt numFmtId="165" formatCode="0.000"/>
      <fill>
        <patternFill patternType="none">
          <fgColor indexed="64"/>
          <bgColor indexed="65"/>
        </patternFill>
      </fill>
    </dxf>
    <dxf>
      <numFmt numFmtId="166" formatCode="0.00000000"/>
    </dxf>
    <dxf>
      <numFmt numFmtId="166" formatCode="0.00000000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7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  <alignment horizontal="general" vertical="bottom" textRotation="0" wrapText="1" indent="0" justifyLastLine="0" shrinkToFit="0" readingOrder="0"/>
    </dxf>
    <dxf>
      <numFmt numFmtId="167" formatCode="yyyy\-mm\-dd;@"/>
    </dxf>
    <dxf>
      <font>
        <b val="0"/>
        <strike val="0"/>
        <outline val="0"/>
        <shadow val="0"/>
        <u val="none"/>
        <vertAlign val="baseline"/>
        <sz val="11"/>
        <color rgb="FF000000"/>
        <name val="Aptos Narrow"/>
        <scheme val="minor"/>
      </font>
      <alignment horizontal="general" vertical="bottom" textRotation="0" wrapText="1" indent="0" justifyLastLine="0" shrinkToFit="0" readingOrder="0"/>
    </dxf>
    <dxf>
      <numFmt numFmtId="167" formatCode="yyyy\-mm\-dd;@"/>
    </dxf>
    <dxf>
      <numFmt numFmtId="167" formatCode="yyyy\-mm\-dd;@"/>
    </dxf>
    <dxf>
      <numFmt numFmtId="167" formatCode="yyyy\-mm\-dd;@"/>
    </dxf>
    <dxf>
      <numFmt numFmtId="167" formatCode="yyyy\-mm\-dd;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Paper Q vs This Study's</a:t>
            </a:r>
            <a:r>
              <a:rPr lang="en-US" baseline="0"/>
              <a:t> </a:t>
            </a:r>
            <a:r>
              <a:rPr lang="en-US"/>
              <a:t>IME 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'Plume Training'!$L$1</c:f>
              <c:strCache>
                <c:ptCount val="1"/>
                <c:pt idx="0">
                  <c:v>IME2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'Plume Training'!$J$2:$J$18</c:f>
              <c:numCache>
                <c:formatCode>General</c:formatCode>
                <c:ptCount val="17"/>
                <c:pt idx="0">
                  <c:v>5.4530000000000003</c:v>
                </c:pt>
                <c:pt idx="1">
                  <c:v>21</c:v>
                </c:pt>
                <c:pt idx="2">
                  <c:v>8.4969999999999999</c:v>
                </c:pt>
                <c:pt idx="3">
                  <c:v>4.3259999999999996</c:v>
                </c:pt>
                <c:pt idx="4">
                  <c:v>2.16</c:v>
                </c:pt>
                <c:pt idx="5">
                  <c:v>2.7570000000000001</c:v>
                </c:pt>
                <c:pt idx="6">
                  <c:v>8.24</c:v>
                </c:pt>
                <c:pt idx="7">
                  <c:v>3.4</c:v>
                </c:pt>
                <c:pt idx="8">
                  <c:v>3</c:v>
                </c:pt>
                <c:pt idx="9">
                  <c:v>3.7</c:v>
                </c:pt>
                <c:pt idx="10">
                  <c:v>3.6</c:v>
                </c:pt>
                <c:pt idx="11">
                  <c:v>4.8</c:v>
                </c:pt>
                <c:pt idx="12">
                  <c:v>3.4</c:v>
                </c:pt>
                <c:pt idx="13">
                  <c:v>2.7</c:v>
                </c:pt>
                <c:pt idx="14">
                  <c:v>2.1</c:v>
                </c:pt>
                <c:pt idx="15">
                  <c:v>14.8</c:v>
                </c:pt>
                <c:pt idx="16">
                  <c:v>0</c:v>
                </c:pt>
              </c:numCache>
            </c:numRef>
          </c:xVal>
          <c:yVal>
            <c:numRef>
              <c:f>'Plume Training'!$L$2:$L$18</c:f>
              <c:numCache>
                <c:formatCode>General</c:formatCode>
                <c:ptCount val="17"/>
                <c:pt idx="0">
                  <c:v>5.3848799999999999</c:v>
                </c:pt>
                <c:pt idx="1">
                  <c:v>18.800219999999999</c:v>
                </c:pt>
                <c:pt idx="2">
                  <c:v>5.2594200000000004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10.779579999999999</c:v>
                </c:pt>
                <c:pt idx="7">
                  <c:v>0</c:v>
                </c:pt>
                <c:pt idx="8">
                  <c:v>0</c:v>
                </c:pt>
                <c:pt idx="9">
                  <c:v>2.6886300000000003</c:v>
                </c:pt>
                <c:pt idx="10">
                  <c:v>2.0910900000000003</c:v>
                </c:pt>
                <c:pt idx="11">
                  <c:v>2.3590500000000003</c:v>
                </c:pt>
                <c:pt idx="12">
                  <c:v>3.27014</c:v>
                </c:pt>
                <c:pt idx="15">
                  <c:v>10.53646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F-4407-9698-18D50A197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393760"/>
        <c:axId val="698395680"/>
      </c:scatterChart>
      <c:valAx>
        <c:axId val="69839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/>
                  <a:t>Q t/h from</a:t>
                </a:r>
                <a:r>
                  <a:rPr lang="en-GB" sz="1000" baseline="0"/>
                  <a:t> </a:t>
                </a:r>
                <a:r>
                  <a:rPr lang="en-GB" sz="1000" b="0" i="0" u="none" strike="noStrike" kern="1200" baseline="0">
                    <a:solidFill>
                      <a:sysClr val="windowText" lastClr="000000"/>
                    </a:solidFill>
                  </a:rPr>
                  <a:t>Peer Reviewed souces</a:t>
                </a:r>
                <a:endParaRPr lang="en-GB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395680"/>
        <c:crosses val="autoZero"/>
        <c:crossBetween val="midCat"/>
      </c:valAx>
      <c:valAx>
        <c:axId val="69839568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This Study's IME</a:t>
                </a:r>
                <a:r>
                  <a:rPr lang="en-GB" baseline="0"/>
                  <a:t> Q t/h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39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Q</a:t>
            </a:r>
            <a:r>
              <a:rPr lang="en-GB" sz="1400" b="0" i="0" u="none" strike="noStrike" baseline="-25000">
                <a:effectLst/>
              </a:rPr>
              <a:t>IME </a:t>
            </a:r>
            <a:r>
              <a:rPr lang="en-GB" sz="1400" b="0" i="0" u="none" strike="noStrike" kern="1200" spc="0" baseline="0">
                <a:solidFill>
                  <a:sysClr val="windowText" lastClr="000000"/>
                </a:solidFill>
              </a:rPr>
              <a:t>vs Study Q </a:t>
            </a: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Old!$O$1</c:f>
              <c:strCache>
                <c:ptCount val="1"/>
                <c:pt idx="0">
                  <c:v>IME Q t-1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5046-41FC-A392-796E6F6E4D93}"/>
              </c:ext>
            </c:extLst>
          </c:dPt>
          <c:xVal>
            <c:numRef>
              <c:f>Old!$J$2:$J$17</c:f>
              <c:numCache>
                <c:formatCode>General</c:formatCode>
                <c:ptCount val="11"/>
                <c:pt idx="0">
                  <c:v>8.4969999999999999</c:v>
                </c:pt>
                <c:pt idx="1">
                  <c:v>14.8</c:v>
                </c:pt>
                <c:pt idx="2">
                  <c:v>3.6</c:v>
                </c:pt>
                <c:pt idx="3">
                  <c:v>8.24</c:v>
                </c:pt>
                <c:pt idx="4">
                  <c:v>2.1</c:v>
                </c:pt>
                <c:pt idx="5">
                  <c:v>2.7</c:v>
                </c:pt>
                <c:pt idx="6">
                  <c:v>3.4</c:v>
                </c:pt>
                <c:pt idx="7">
                  <c:v>4.8</c:v>
                </c:pt>
                <c:pt idx="8">
                  <c:v>3.7</c:v>
                </c:pt>
                <c:pt idx="9">
                  <c:v>5.4530000000000003</c:v>
                </c:pt>
                <c:pt idx="10">
                  <c:v>21</c:v>
                </c:pt>
              </c:numCache>
            </c:numRef>
          </c:xVal>
          <c:yVal>
            <c:numRef>
              <c:f>Old!$O$2:$O$17</c:f>
              <c:numCache>
                <c:formatCode>General</c:formatCode>
                <c:ptCount val="11"/>
                <c:pt idx="0">
                  <c:v>5.2594200000000004</c:v>
                </c:pt>
                <c:pt idx="1">
                  <c:v>10.53646</c:v>
                </c:pt>
                <c:pt idx="2">
                  <c:v>2.5598700000000001</c:v>
                </c:pt>
                <c:pt idx="3">
                  <c:v>10.779579999999999</c:v>
                </c:pt>
                <c:pt idx="5">
                  <c:v>0.38918999999999998</c:v>
                </c:pt>
                <c:pt idx="6">
                  <c:v>3.27014</c:v>
                </c:pt>
                <c:pt idx="7">
                  <c:v>3.96977</c:v>
                </c:pt>
                <c:pt idx="8">
                  <c:v>2.6886300000000003</c:v>
                </c:pt>
                <c:pt idx="9">
                  <c:v>5.3848799999999999</c:v>
                </c:pt>
                <c:pt idx="10">
                  <c:v>18.800219999999999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AB-4850-8ABA-19BDF2673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320304"/>
        <c:axId val="658321744"/>
      </c:scatterChart>
      <c:valAx>
        <c:axId val="658320304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/>
                  <a:t>Study Q t/h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21744"/>
        <c:crosses val="autoZero"/>
        <c:crossBetween val="midCat"/>
      </c:valAx>
      <c:valAx>
        <c:axId val="658321744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u="none" strike="noStrike" baseline="0">
                    <a:effectLst/>
                  </a:rPr>
                  <a:t>Q</a:t>
                </a:r>
                <a:r>
                  <a:rPr lang="en-GB" sz="1100" b="0" i="0" u="none" strike="noStrike" baseline="-25000">
                    <a:effectLst/>
                  </a:rPr>
                  <a:t>IME</a:t>
                </a:r>
                <a:r>
                  <a:rPr lang="en-GB" sz="1100"/>
                  <a:t> t/h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2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u="none" strike="noStrike" kern="1200" spc="0" baseline="0">
                <a:solidFill>
                  <a:sysClr val="windowText" lastClr="000000"/>
                </a:solidFill>
                <a:effectLst/>
              </a:rPr>
              <a:t>Q</a:t>
            </a:r>
            <a:r>
              <a:rPr lang="en-GB" sz="1800" b="0" i="0" u="none" strike="noStrike" kern="1200" spc="0" baseline="-25000">
                <a:solidFill>
                  <a:sysClr val="windowText" lastClr="000000"/>
                </a:solidFill>
                <a:effectLst/>
              </a:rPr>
              <a:t>M </a:t>
            </a:r>
            <a:r>
              <a:rPr lang="en-GB" sz="1800" b="0" i="0" u="none" strike="noStrike" kern="1200" spc="0" baseline="0">
                <a:solidFill>
                  <a:sysClr val="windowText" lastClr="000000"/>
                </a:solidFill>
                <a:effectLst/>
              </a:rPr>
              <a:t>vs Q</a:t>
            </a:r>
            <a:r>
              <a:rPr lang="en-GB" sz="1800" b="0" i="0" u="none" strike="noStrike" kern="1200" spc="0" baseline="-25000">
                <a:solidFill>
                  <a:sysClr val="windowText" lastClr="000000"/>
                </a:solidFill>
                <a:effectLst/>
              </a:rPr>
              <a:t>IME </a:t>
            </a:r>
            <a:r>
              <a:rPr lang="en-GB" sz="1800" b="0" i="0" u="none" strike="noStrike" kern="1200" spc="0" baseline="0">
                <a:solidFill>
                  <a:sysClr val="windowText" lastClr="000000"/>
                </a:solidFill>
                <a:effectLst/>
              </a:rPr>
              <a:t> 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QM (t/h)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Sheet1!$B$2:$B$31</c:f>
              <c:numCache>
                <c:formatCode>General</c:formatCode>
                <c:ptCount val="30"/>
                <c:pt idx="0">
                  <c:v>1.968</c:v>
                </c:pt>
                <c:pt idx="1">
                  <c:v>6.4720000000000004</c:v>
                </c:pt>
                <c:pt idx="2">
                  <c:v>5.1230000000000002</c:v>
                </c:pt>
                <c:pt idx="3">
                  <c:v>3.6059999999999999</c:v>
                </c:pt>
                <c:pt idx="4">
                  <c:v>2.298</c:v>
                </c:pt>
                <c:pt idx="5">
                  <c:v>7.38</c:v>
                </c:pt>
                <c:pt idx="6">
                  <c:v>7.9530000000000003</c:v>
                </c:pt>
                <c:pt idx="7">
                  <c:v>3.097</c:v>
                </c:pt>
                <c:pt idx="8">
                  <c:v>10.003</c:v>
                </c:pt>
                <c:pt idx="9">
                  <c:v>3.214</c:v>
                </c:pt>
                <c:pt idx="10">
                  <c:v>9.76</c:v>
                </c:pt>
                <c:pt idx="11">
                  <c:v>5.75</c:v>
                </c:pt>
                <c:pt idx="12">
                  <c:v>12.367000000000001</c:v>
                </c:pt>
                <c:pt idx="13">
                  <c:v>3.9630000000000001</c:v>
                </c:pt>
                <c:pt idx="14">
                  <c:v>3.25</c:v>
                </c:pt>
                <c:pt idx="15">
                  <c:v>2.0299999999999998</c:v>
                </c:pt>
                <c:pt idx="16">
                  <c:v>1.1180000000000001</c:v>
                </c:pt>
                <c:pt idx="17">
                  <c:v>6.46</c:v>
                </c:pt>
                <c:pt idx="18">
                  <c:v>3.359</c:v>
                </c:pt>
                <c:pt idx="19">
                  <c:v>7.484</c:v>
                </c:pt>
                <c:pt idx="20">
                  <c:v>4.62</c:v>
                </c:pt>
                <c:pt idx="21">
                  <c:v>11.992000000000001</c:v>
                </c:pt>
                <c:pt idx="22">
                  <c:v>5.7050000000000001</c:v>
                </c:pt>
                <c:pt idx="23">
                  <c:v>4.915</c:v>
                </c:pt>
                <c:pt idx="24">
                  <c:v>1.944</c:v>
                </c:pt>
                <c:pt idx="25">
                  <c:v>9.9139999999999997</c:v>
                </c:pt>
                <c:pt idx="26">
                  <c:v>3.8580000000000001</c:v>
                </c:pt>
                <c:pt idx="27">
                  <c:v>9.6310000000000002</c:v>
                </c:pt>
                <c:pt idx="28">
                  <c:v>2.9750000000000001</c:v>
                </c:pt>
                <c:pt idx="29">
                  <c:v>6.6369999999999996</c:v>
                </c:pt>
              </c:numCache>
            </c:numRef>
          </c:xVal>
          <c:yVal>
            <c:numRef>
              <c:f>Sheet1!$D$2:$D$31</c:f>
              <c:numCache>
                <c:formatCode>General</c:formatCode>
                <c:ptCount val="30"/>
                <c:pt idx="0">
                  <c:v>3.0489899999999999</c:v>
                </c:pt>
                <c:pt idx="1">
                  <c:v>4.5198799999999997</c:v>
                </c:pt>
                <c:pt idx="2">
                  <c:v>3.6460100000000004</c:v>
                </c:pt>
                <c:pt idx="3">
                  <c:v>3.2963899999999997</c:v>
                </c:pt>
                <c:pt idx="4">
                  <c:v>2.6895100000000003</c:v>
                </c:pt>
                <c:pt idx="5">
                  <c:v>6.2413500000000006</c:v>
                </c:pt>
                <c:pt idx="6">
                  <c:v>6.17408</c:v>
                </c:pt>
                <c:pt idx="7">
                  <c:v>3.5210500000000002</c:v>
                </c:pt>
                <c:pt idx="8">
                  <c:v>8.0716999999999999</c:v>
                </c:pt>
                <c:pt idx="9">
                  <c:v>3.1024400000000001</c:v>
                </c:pt>
                <c:pt idx="10">
                  <c:v>7.8220700000000001</c:v>
                </c:pt>
                <c:pt idx="11">
                  <c:v>4.3576300000000003</c:v>
                </c:pt>
                <c:pt idx="12">
                  <c:v>8.9053100000000001</c:v>
                </c:pt>
                <c:pt idx="13">
                  <c:v>3.74187</c:v>
                </c:pt>
                <c:pt idx="14">
                  <c:v>2.2738499999999999</c:v>
                </c:pt>
                <c:pt idx="15">
                  <c:v>3.0026599999999997</c:v>
                </c:pt>
                <c:pt idx="16">
                  <c:v>2.0042399999999998</c:v>
                </c:pt>
                <c:pt idx="17">
                  <c:v>6.2610100000000006</c:v>
                </c:pt>
                <c:pt idx="18">
                  <c:v>4.0011399999999995</c:v>
                </c:pt>
                <c:pt idx="19">
                  <c:v>8.5549699999999991</c:v>
                </c:pt>
                <c:pt idx="20">
                  <c:v>6.08474</c:v>
                </c:pt>
                <c:pt idx="21">
                  <c:v>10.13355</c:v>
                </c:pt>
                <c:pt idx="22">
                  <c:v>5.1090200000000001</c:v>
                </c:pt>
                <c:pt idx="23">
                  <c:v>6.2954799999999995</c:v>
                </c:pt>
                <c:pt idx="24">
                  <c:v>2.1234899999999999</c:v>
                </c:pt>
                <c:pt idx="25">
                  <c:v>7.7999099999999997</c:v>
                </c:pt>
                <c:pt idx="26">
                  <c:v>4.1574999999999998</c:v>
                </c:pt>
                <c:pt idx="27">
                  <c:v>9.7548999999999992</c:v>
                </c:pt>
                <c:pt idx="28">
                  <c:v>4.1010100000000005</c:v>
                </c:pt>
                <c:pt idx="29">
                  <c:v>8.0084700000000009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4C-4142-BEBE-C301C398C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256032"/>
        <c:axId val="1482256512"/>
      </c:scatterChart>
      <c:valAx>
        <c:axId val="1482256032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u="none" strike="noStrike" baseline="0">
                    <a:effectLst/>
                  </a:rPr>
                  <a:t>Q</a:t>
                </a:r>
                <a:r>
                  <a:rPr lang="en-GB" sz="1200" b="0" i="0" u="none" strike="noStrike" baseline="-25000">
                    <a:effectLst/>
                  </a:rPr>
                  <a:t>IME</a:t>
                </a:r>
                <a:r>
                  <a:rPr lang="en-GB" sz="1200"/>
                  <a:t> t/h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256512"/>
        <c:crosses val="autoZero"/>
        <c:crossBetween val="midCat"/>
      </c:valAx>
      <c:valAx>
        <c:axId val="1482256512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u="none" strike="noStrike" baseline="0">
                    <a:effectLst/>
                  </a:rPr>
                  <a:t>Q</a:t>
                </a:r>
                <a:r>
                  <a:rPr lang="en-GB" sz="1200" b="0" i="0" u="none" strike="noStrike" baseline="-25000">
                    <a:effectLst/>
                  </a:rPr>
                  <a:t>M</a:t>
                </a:r>
                <a:r>
                  <a:rPr lang="en-GB" sz="1200"/>
                  <a:t> t/h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25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54430</xdr:colOff>
      <xdr:row>19</xdr:row>
      <xdr:rowOff>70757</xdr:rowOff>
    </xdr:from>
    <xdr:to>
      <xdr:col>11</xdr:col>
      <xdr:colOff>176894</xdr:colOff>
      <xdr:row>34</xdr:row>
      <xdr:rowOff>160564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4AA41C-A295-07E0-DAD4-4C262A07C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296956</xdr:colOff>
      <xdr:row>17</xdr:row>
      <xdr:rowOff>131885</xdr:rowOff>
    </xdr:from>
    <xdr:to>
      <xdr:col>11</xdr:col>
      <xdr:colOff>67234</xdr:colOff>
      <xdr:row>34</xdr:row>
      <xdr:rowOff>32497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A27AE0-8160-E692-3506-3FBBAE0EE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20</xdr:row>
      <xdr:rowOff>58615</xdr:rowOff>
    </xdr:from>
    <xdr:to>
      <xdr:col>10</xdr:col>
      <xdr:colOff>542192</xdr:colOff>
      <xdr:row>31</xdr:row>
      <xdr:rowOff>14654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4F02CEE-CED0-CCC7-C8D2-A9CF4DEE8273}"/>
            </a:ext>
          </a:extLst>
        </xdr:cNvPr>
        <xdr:cNvCxnSpPr/>
      </xdr:nvCxnSpPr>
      <xdr:spPr>
        <a:xfrm flipV="1">
          <a:off x="3304442" y="3773365"/>
          <a:ext cx="2417885" cy="1970943"/>
        </a:xfrm>
        <a:prstGeom prst="line">
          <a:avLst/>
        </a:prstGeom>
        <a:ln w="12700">
          <a:solidFill>
            <a:schemeClr val="tx1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171451</xdr:colOff>
      <xdr:row>7</xdr:row>
      <xdr:rowOff>180974</xdr:rowOff>
    </xdr:from>
    <xdr:to>
      <xdr:col>10</xdr:col>
      <xdr:colOff>495300</xdr:colOff>
      <xdr:row>27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CB6015-A23F-3353-1F9D-1C36AE0E4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10</xdr:row>
      <xdr:rowOff>164523</xdr:rowOff>
    </xdr:from>
    <xdr:to>
      <xdr:col>10</xdr:col>
      <xdr:colOff>294409</xdr:colOff>
      <xdr:row>24</xdr:row>
      <xdr:rowOff>103909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40590B6C-5FD1-A15B-238C-E2931FB2A13F}"/>
            </a:ext>
          </a:extLst>
        </xdr:cNvPr>
        <xdr:cNvCxnSpPr/>
      </xdr:nvCxnSpPr>
      <xdr:spPr>
        <a:xfrm flipV="1">
          <a:off x="4182341" y="1982932"/>
          <a:ext cx="2935432" cy="2485159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37AA6A-A79D-4BFB-A361-EEC3385EF8FC}" name="Table1342" displayName="Table1342" ref="A1:W18" totalsRowShown="0" dataDxfId="72">
  <autoFilter ref="A1:W18" xr:uid="{CA37AA6A-A79D-4BFB-A361-EEC3385EF8FC}"/>
  <sortState xmlns:xlrd2="http://schemas.microsoft.com/office/spreadsheetml/2017/richdata2" ref="A2:U8">
    <sortCondition ref="A1:A8"/>
  </sortState>
  <tableColumns count="23">
    <tableColumn id="1" xr3:uid="{39A89B05-CF8F-482E-8DD0-E5C561FE7713}" name="Plume" dataDxfId="71"/>
    <tableColumn id="2" xr3:uid="{18F89AAE-D76E-48E1-BD0D-24517DE0D9F1}" name="Active_date" dataDxfId="70" totalsRowDxfId="69"/>
    <tableColumn id="13" xr3:uid="{1A47E61C-B64C-4484-8D66-F6642850475D}" name="No_date" dataDxfId="68" totalsRowDxfId="67"/>
    <tableColumn id="19" xr3:uid="{1E0478D3-0FEC-44E5-991C-FE06E8600322}" name="Location" dataDxfId="66" totalsRowDxfId="65"/>
    <tableColumn id="21" xr3:uid="{2C164A72-3DE6-47E9-9942-1B5971D811C9}" name="Lat" dataDxfId="64" totalsRowDxfId="63"/>
    <tableColumn id="3" xr3:uid="{E3981D14-83C8-4C1F-A8F7-A10F0459001A}" name="Long" dataDxfId="62"/>
    <tableColumn id="5" xr3:uid="{48A4BC29-CA08-4F96-BF94-7F41CBBD47AC}" name="Q kg h−1" dataDxfId="61"/>
    <tableColumn id="6" xr3:uid="{2E5E2F78-1C66-4169-8BB3-AF099B1445A3}" name="Q ± kg h−1" dataDxfId="60"/>
    <tableColumn id="18" xr3:uid="{7E1C6C7F-0C39-40E9-97BD-94DB55816B22}" name="unc %" dataDxfId="59">
      <calculatedColumnFormula>100/Table1342[[#This Row],[Q kg h−1]]*Table1342[[#This Row],[Q ± kg h−1]]</calculatedColumnFormula>
    </tableColumn>
    <tableColumn id="20" xr3:uid="{D18990B5-D0A5-4051-930D-6C410B247EAC}" name="Q kg t−1" dataDxfId="58">
      <calculatedColumnFormula>Table1342[[#This Row],[Q kg h−1]]/1000</calculatedColumnFormula>
    </tableColumn>
    <tableColumn id="23" xr3:uid="{764960D1-F453-4523-8AC2-E0D0ED784774}" name="IME"/>
    <tableColumn id="4" xr3:uid="{1E5C4E0E-8A71-4B82-8FDD-AC157712D154}" name="IME2">
      <calculatedColumnFormula>Table1342[[#This Row],[IME]]/1000</calculatedColumnFormula>
    </tableColumn>
    <tableColumn id="7" xr3:uid="{FE91BBBE-AF77-4AD1-9050-CB1D61FBB9E9}" name="CS Sum (dig. num.) " dataDxfId="57" totalsRowDxfId="56"/>
    <tableColumn id="8" xr3:uid="{F49D1941-C7E5-4CBF-A5A4-D5DC90770A4F}" name="Length " dataDxfId="55" totalsRowDxfId="54"/>
    <tableColumn id="12" xr3:uid="{F7643DA3-6742-478B-951E-4D2A75CB1191}" name="Width" dataDxfId="53" totalsRowDxfId="52"/>
    <tableColumn id="9" xr3:uid="{DBAC3A69-CD8A-4BEF-88A8-4F8E93EE1136}" name="Wind m/s" dataDxfId="51"/>
    <tableColumn id="10" xr3:uid="{2445825B-75D5-4464-B697-E8BAD30C3F75}" name="Model Q kg h−1" dataDxfId="50" totalsRowDxfId="49"/>
    <tableColumn id="16" xr3:uid="{A833EE40-AC39-4341-9B61-BBFD99D47AD7}" name="difference" dataDxfId="48">
      <calculatedColumnFormula>Table1342[[#This Row],[Model Q kg h−1]]-Table1342[[#This Row],[Q kg h−1]]</calculatedColumnFormula>
    </tableColumn>
    <tableColumn id="22" xr3:uid="{30C9B0A6-A362-4D7E-9752-9EAA7134E2B5}" name="Model Q kg t−1" dataDxfId="47">
      <calculatedColumnFormula>Table1342[[#This Row],[Model Q kg h−1]]/1000</calculatedColumnFormula>
    </tableColumn>
    <tableColumn id="17" xr3:uid="{0EA79905-4B4C-4C59-868B-4700625EF30B}" name="% diff" dataDxfId="46">
      <calculatedColumnFormula>100/Table1342[[#This Row],[Q kg h−1]]*Table1342[[#This Row],[Model Q kg h−1]]</calculatedColumnFormula>
    </tableColumn>
    <tableColumn id="11" xr3:uid="{F0356B66-A8E4-4750-BC99-97A1438E169F}" name="Source" dataDxfId="45"/>
    <tableColumn id="14" xr3:uid="{65FF7C27-CBCD-4797-AE06-86292C4E3095}" name="Platform" dataDxfId="44" totalsRowDxfId="43"/>
    <tableColumn id="15" xr3:uid="{8A6824B4-B38C-46C1-A33E-B367AE725D9A}" name="Overpass time" dataDxfId="42" totalsRowDxfId="41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3B0A0D-EFF1-4B8B-B47A-960665CA37A7}" name="Table13423" displayName="Table13423" ref="A1:Z17" totalsRowShown="0" dataDxfId="40">
  <autoFilter ref="A1:Z17" xr:uid="{C33B0A0D-EFF1-4B8B-B47A-960665CA37A7}"/>
  <sortState xmlns:xlrd2="http://schemas.microsoft.com/office/spreadsheetml/2017/richdata2" ref="A2:Z17">
    <sortCondition ref="A1:A17"/>
  </sortState>
  <tableColumns count="26">
    <tableColumn id="1" xr3:uid="{1BF3C289-8134-482C-865F-60FD3A606948}" name="Site" dataDxfId="39"/>
    <tableColumn id="2" xr3:uid="{212B6BC9-5604-452C-B1DB-7751FE76AE2F}" name="Active_date" dataDxfId="38" totalsRowDxfId="37"/>
    <tableColumn id="13" xr3:uid="{BEFE357F-D043-4D01-9D63-B5D72B418FFC}" name="No_date" dataDxfId="36" totalsRowDxfId="35"/>
    <tableColumn id="19" xr3:uid="{BDDD6861-F370-4D5B-A54F-8F251CF30894}" name="Location" dataDxfId="34" totalsRowDxfId="33"/>
    <tableColumn id="21" xr3:uid="{92174747-496D-4F14-8D3C-9B8EE6D44166}" name="Lat" dataDxfId="32" totalsRowDxfId="31"/>
    <tableColumn id="3" xr3:uid="{0BA4FE6B-B5F9-477D-96B7-2049FAF5E60D}" name="Long" dataDxfId="30"/>
    <tableColumn id="5" xr3:uid="{572DA62B-44D8-45BE-8BE5-277F4D5FAF0B}" name="Study Q" dataDxfId="29"/>
    <tableColumn id="6" xr3:uid="{E6A8E821-06B7-4AC9-8F37-B12CAB8E96D2}" name="Q ± kg h−1" dataDxfId="28"/>
    <tableColumn id="18" xr3:uid="{1EC28F8E-A552-44AE-B65B-FA65D19F4F99}" name="unc %" dataDxfId="27">
      <calculatedColumnFormula>100/Table13423[[#This Row],[Study Q]]*Table13423[[#This Row],[Q ± kg h−1]]</calculatedColumnFormula>
    </tableColumn>
    <tableColumn id="20" xr3:uid="{ACCDA963-B9FB-4B4D-B513-C3A582C2E138}" name="Study t−1" dataDxfId="26">
      <calculatedColumnFormula>Table13423[[#This Row],[Study Q]]/1000</calculatedColumnFormula>
    </tableColumn>
    <tableColumn id="25" xr3:uid="{0BF36B7E-2CBE-4D26-A07F-C02C75484EB2}" name="CSF Q kg−1"/>
    <tableColumn id="26" xr3:uid="{D73ACE9D-63AB-4E7A-89E1-D672130935E7}" name="CSF Q t−1" dataDxfId="25">
      <calculatedColumnFormula>Table13423[[#This Row],[CSF Q kg−1]]/1000</calculatedColumnFormula>
    </tableColumn>
    <tableColumn id="4" xr3:uid="{73524C5A-39D6-476A-84E4-BAE5752601B6}" name="Within ± of study Q?" dataDxfId="24"/>
    <tableColumn id="23" xr3:uid="{D551076A-D116-4144-A59C-26B3C04A8AEA}" name="IME Q"/>
    <tableColumn id="24" xr3:uid="{8FFDF04B-0A4F-4820-8471-C3807F1C1BEF}" name="IME Q t-1" dataDxfId="23">
      <calculatedColumnFormula>Table13423[[#This Row],[IME Q]]/1000</calculatedColumnFormula>
    </tableColumn>
    <tableColumn id="7" xr3:uid="{D22FB6EB-0ACA-460E-897D-3EB8711E7026}" name="CS Sum (dig. num.) " dataDxfId="22" totalsRowDxfId="21"/>
    <tableColumn id="8" xr3:uid="{0B6BC2F0-17EE-4F15-A010-84019D67A319}" name="Length " dataDxfId="20" totalsRowDxfId="19"/>
    <tableColumn id="12" xr3:uid="{47A3BC5D-FF4F-4A7E-BC3C-D13A92AE1BC2}" name="Width" dataDxfId="18" totalsRowDxfId="17"/>
    <tableColumn id="9" xr3:uid="{3E3637BF-59E2-45C1-BD6B-844565570D1E}" name="Wind m/s" dataDxfId="16"/>
    <tableColumn id="10" xr3:uid="{7EC4115B-24CA-414B-8C71-C93DEFFB8DEC}" name="Model Q kg h−1" dataDxfId="15" totalsRowDxfId="14"/>
    <tableColumn id="16" xr3:uid="{7B42B6EB-D5A9-41BF-A437-E1D0D916045A}" name="difference" dataDxfId="13">
      <calculatedColumnFormula>Table13423[[#This Row],[Model Q kg h−1]]-Table13423[[#This Row],[Study Q]]</calculatedColumnFormula>
    </tableColumn>
    <tableColumn id="22" xr3:uid="{0404B6EC-B665-4F31-8338-B9B691D72B76}" name="Model Q kg t−1" dataDxfId="12">
      <calculatedColumnFormula>Table13423[[#This Row],[Model Q kg h−1]]/1000</calculatedColumnFormula>
    </tableColumn>
    <tableColumn id="17" xr3:uid="{07A55401-C282-46C6-A9EE-037B745FF7A7}" name="% diff" dataDxfId="11">
      <calculatedColumnFormula>100/Table13423[[#This Row],[Study Q]]*Table13423[[#This Row],[Model Q kg h−1]]</calculatedColumnFormula>
    </tableColumn>
    <tableColumn id="11" xr3:uid="{6E922E87-0DB9-400B-96F1-E2FA1B442F48}" name="Source" dataDxfId="10"/>
    <tableColumn id="14" xr3:uid="{2C9D3E1A-666A-45EA-BE5A-C3069D6A7BD0}" name="Platform" dataDxfId="9" totalsRowDxfId="8"/>
    <tableColumn id="15" xr3:uid="{8CE15610-932C-4A71-BAEC-501C3F4EE199}" name="Overpass time" dataDxfId="7" totalsRowDxfId="6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48D85E-DE4D-4D9A-BC87-3B82F93D4A65}" name="Table3" displayName="Table3" ref="A1:R101" totalsRowShown="0">
  <autoFilter ref="A1:R101" xr:uid="{1048D85E-DE4D-4D9A-BC87-3B82F93D4A65}"/>
  <sortState xmlns:xlrd2="http://schemas.microsoft.com/office/spreadsheetml/2017/richdata2" ref="A2:R101">
    <sortCondition ref="B1:B101"/>
  </sortState>
  <tableColumns count="18">
    <tableColumn id="1" xr3:uid="{D14988DA-13F6-40EE-9506-994BD15C8AF2}" name="Plume"/>
    <tableColumn id="2" xr3:uid="{67E47FE2-572B-46D0-9F06-B30CF2AF3560}" name="Active_date" dataDxfId="5"/>
    <tableColumn id="3" xr3:uid="{294956F7-99F7-43CB-90B3-AEA0A083C440}" name="No_date" dataDxfId="4"/>
    <tableColumn id="4" xr3:uid="{DF800319-C741-47A3-803A-34A5EFC5071D}" name="Lat"/>
    <tableColumn id="5" xr3:uid="{108BD567-F796-49BA-865D-EBD2CCEAC386}" name="Long"/>
    <tableColumn id="6" xr3:uid="{D507772F-D9E6-4FC8-90EB-4AB3690F4AD3}" name="IME Q" dataDxfId="3"/>
    <tableColumn id="7" xr3:uid="{12C4605E-F2FA-4474-9536-276B74E76D83}" name="CSS Q" dataDxfId="2"/>
    <tableColumn id="8" xr3:uid="{B08DE473-68BC-4761-B4BB-1B290A2D23DD}" name="Q kg t/h"/>
    <tableColumn id="9" xr3:uid="{19E40A38-7501-4D7B-AE20-F65899EE8303}" name="SZA"/>
    <tableColumn id="10" xr3:uid="{8842C51C-B289-4ED8-9652-2D4122E88C70}" name="PW"/>
    <tableColumn id="11" xr3:uid="{E9AD64A9-73C4-47DA-BF4B-D9A5A95262F6}" name="RCSS" dataDxfId="1"/>
    <tableColumn id="12" xr3:uid="{6BC0B98D-B494-4CF2-9805-E863A9E8A392}" name="PL " dataDxfId="0"/>
    <tableColumn id="13" xr3:uid="{661A7890-5DAC-442B-A10E-C117A6053EEC}" name="PPS"/>
    <tableColumn id="14" xr3:uid="{5FB9BA3C-CD5C-4F09-99EB-2B6B2CD1A8B3}" name="Wind"/>
    <tableColumn id="15" xr3:uid="{E275EE0B-11D0-4536-86AE-39D8FF8587D5}" name="Model Q kg h−1"/>
    <tableColumn id="16" xr3:uid="{C1D44A8E-3F96-4302-88AB-2BF8B09CEF06}" name="Model Q kg t−1"/>
    <tableColumn id="17" xr3:uid="{C27F38BE-74B5-4DB3-9373-CF998D40A6A1}" name="difference"/>
    <tableColumn id="18" xr3:uid="{48FAF679-37C9-4695-962A-60E74B9A0650}" name="% diff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870DD-AD43-4575-B0E6-4E5738AF0BC2}">
  <dimension ref="A1:W21"/>
  <sheetViews>
    <sheetView topLeftCell="M11" zoomScaleNormal="100" workbookViewId="0">
      <selection activeCell="P22" sqref="P22"/>
    </sheetView>
  </sheetViews>
  <sheetFormatPr defaultRowHeight="14.25"/>
  <cols>
    <col min="1" max="1" width="8.875" bestFit="1" customWidth="1"/>
    <col min="2" max="2" width="13.5" bestFit="1" customWidth="1"/>
    <col min="3" max="3" width="13.5" customWidth="1"/>
    <col min="4" max="4" width="14.25" hidden="1" customWidth="1"/>
    <col min="5" max="5" width="8.75" bestFit="1" customWidth="1"/>
    <col min="6" max="6" width="10.875" customWidth="1"/>
    <col min="7" max="7" width="10.125" customWidth="1"/>
    <col min="8" max="9" width="11.75" customWidth="1"/>
    <col min="10" max="12" width="13.875" customWidth="1"/>
    <col min="13" max="13" width="11.625" customWidth="1"/>
    <col min="14" max="14" width="10.625" customWidth="1"/>
    <col min="15" max="15" width="11.375" customWidth="1"/>
    <col min="16" max="16" width="12.875" customWidth="1"/>
    <col min="17" max="17" width="12.125" customWidth="1"/>
    <col min="18" max="19" width="10" customWidth="1"/>
    <col min="20" max="20" width="16.875" bestFit="1" customWidth="1"/>
    <col min="21" max="21" width="15.875" bestFit="1" customWidth="1"/>
  </cols>
  <sheetData>
    <row r="1" spans="1:23" ht="21" customHeight="1">
      <c r="A1" t="s">
        <v>0</v>
      </c>
      <c r="B1" t="s">
        <v>21</v>
      </c>
      <c r="C1" t="s">
        <v>22</v>
      </c>
      <c r="D1" t="s">
        <v>44</v>
      </c>
      <c r="E1" t="s">
        <v>1</v>
      </c>
      <c r="F1" t="s">
        <v>2</v>
      </c>
      <c r="G1" t="s">
        <v>5</v>
      </c>
      <c r="H1" t="s">
        <v>11</v>
      </c>
      <c r="I1" t="s">
        <v>27</v>
      </c>
      <c r="J1" t="s">
        <v>45</v>
      </c>
      <c r="K1" t="s">
        <v>68</v>
      </c>
      <c r="L1" t="s">
        <v>69</v>
      </c>
      <c r="M1" t="s">
        <v>9</v>
      </c>
      <c r="N1" t="s">
        <v>26</v>
      </c>
      <c r="O1" t="s">
        <v>24</v>
      </c>
      <c r="P1" t="s">
        <v>10</v>
      </c>
      <c r="Q1" t="s">
        <v>7</v>
      </c>
      <c r="R1" t="s">
        <v>20</v>
      </c>
      <c r="S1" t="s">
        <v>46</v>
      </c>
      <c r="T1" t="s">
        <v>25</v>
      </c>
      <c r="U1" t="s">
        <v>8</v>
      </c>
      <c r="V1" t="s">
        <v>12</v>
      </c>
      <c r="W1" t="s">
        <v>14</v>
      </c>
    </row>
    <row r="2" spans="1:23" ht="21" customHeight="1">
      <c r="A2">
        <v>1</v>
      </c>
      <c r="B2" s="5">
        <v>44439</v>
      </c>
      <c r="C2" s="5">
        <v>44437</v>
      </c>
      <c r="D2" s="8" t="s">
        <v>28</v>
      </c>
      <c r="E2">
        <v>31.8066</v>
      </c>
      <c r="F2">
        <v>6.1544999999999996</v>
      </c>
      <c r="G2" s="1">
        <v>5453</v>
      </c>
      <c r="H2">
        <v>2200</v>
      </c>
      <c r="I2">
        <f>100/Table1342[[#This Row],[Q kg h−1]]*Table1342[[#This Row],[Q ± kg h−1]]</f>
        <v>40.344764349899137</v>
      </c>
      <c r="J2">
        <f>Table1342[[#This Row],[Q kg h−1]]/1000</f>
        <v>5.4530000000000003</v>
      </c>
      <c r="K2">
        <v>5384.88</v>
      </c>
      <c r="L2">
        <f>Table1342[[#This Row],[IME]]/1000</f>
        <v>5.3848799999999999</v>
      </c>
      <c r="M2" s="4">
        <v>6.6746E-2</v>
      </c>
      <c r="N2" s="3">
        <v>16.124514999999999</v>
      </c>
      <c r="O2" s="3">
        <v>7</v>
      </c>
      <c r="P2">
        <v>4.45</v>
      </c>
      <c r="Q2" s="1">
        <v>4606.2158200000003</v>
      </c>
      <c r="R2" s="1">
        <f>Table1342[[#This Row],[Model Q kg h−1]]-Table1342[[#This Row],[Q kg h−1]]</f>
        <v>-846.78417999999965</v>
      </c>
      <c r="S2" s="3">
        <f>Table1342[[#This Row],[Model Q kg h−1]]/1000</f>
        <v>4.6062158200000001</v>
      </c>
      <c r="T2" s="1">
        <f>100/Table1342[[#This Row],[Q kg h−1]]*Table1342[[#This Row],[Model Q kg h−1]]</f>
        <v>84.471223546671567</v>
      </c>
      <c r="U2" t="s">
        <v>3</v>
      </c>
      <c r="V2" s="1" t="s">
        <v>13</v>
      </c>
      <c r="W2" s="2">
        <v>0.4375</v>
      </c>
    </row>
    <row r="3" spans="1:23" ht="21" customHeight="1">
      <c r="A3">
        <v>2</v>
      </c>
      <c r="B3" s="5">
        <v>43834</v>
      </c>
      <c r="C3" s="5">
        <v>43832</v>
      </c>
      <c r="D3" s="9" t="s">
        <v>29</v>
      </c>
      <c r="E3">
        <v>31.864699999999999</v>
      </c>
      <c r="F3">
        <v>6.1736000000000004</v>
      </c>
      <c r="G3">
        <v>21000</v>
      </c>
      <c r="H3">
        <v>6000</v>
      </c>
      <c r="I3">
        <f>100/Table1342[[#This Row],[Q kg h−1]]*Table1342[[#This Row],[Q ± kg h−1]]</f>
        <v>28.571428571428573</v>
      </c>
      <c r="J3">
        <f>Table1342[[#This Row],[Q kg h−1]]/1000</f>
        <v>21</v>
      </c>
      <c r="K3">
        <v>18800.22</v>
      </c>
      <c r="L3">
        <f>Table1342[[#This Row],[IME]]/1000</f>
        <v>18.800219999999999</v>
      </c>
      <c r="M3" s="4">
        <v>0.57429699999999995</v>
      </c>
      <c r="N3" s="3">
        <v>294.54371500000002</v>
      </c>
      <c r="O3" s="3">
        <v>47</v>
      </c>
      <c r="P3">
        <v>3.65</v>
      </c>
      <c r="Q3" s="1">
        <v>15074.407227</v>
      </c>
      <c r="R3" s="1">
        <f>Table1342[[#This Row],[Model Q kg h−1]]-Table1342[[#This Row],[Q kg h−1]]</f>
        <v>-5925.5927730000003</v>
      </c>
      <c r="S3" s="3">
        <f>Table1342[[#This Row],[Model Q kg h−1]]/1000</f>
        <v>15.074407227</v>
      </c>
      <c r="T3" s="1">
        <f>100/Table1342[[#This Row],[Q kg h−1]]*Table1342[[#This Row],[Model Q kg h−1]]</f>
        <v>71.782891557142861</v>
      </c>
      <c r="U3" t="s">
        <v>4</v>
      </c>
      <c r="V3" s="1" t="s">
        <v>13</v>
      </c>
      <c r="W3" s="2">
        <v>0.4375</v>
      </c>
    </row>
    <row r="4" spans="1:23" ht="21" customHeight="1">
      <c r="A4">
        <v>3</v>
      </c>
      <c r="B4" s="5">
        <v>43789</v>
      </c>
      <c r="C4" s="5">
        <v>43787</v>
      </c>
      <c r="D4" s="8" t="s">
        <v>30</v>
      </c>
      <c r="E4">
        <v>31.6585</v>
      </c>
      <c r="F4">
        <v>5.9053000000000004</v>
      </c>
      <c r="G4">
        <v>8497</v>
      </c>
      <c r="H4">
        <v>5700</v>
      </c>
      <c r="I4">
        <f>100/Table1342[[#This Row],[Q kg h−1]]*Table1342[[#This Row],[Q ± kg h−1]]</f>
        <v>67.082499705778503</v>
      </c>
      <c r="J4">
        <f>Table1342[[#This Row],[Q kg h−1]]/1000</f>
        <v>8.4969999999999999</v>
      </c>
      <c r="K4">
        <v>5259.42</v>
      </c>
      <c r="L4">
        <f>Table1342[[#This Row],[IME]]/1000</f>
        <v>5.2594200000000004</v>
      </c>
      <c r="M4" s="4">
        <v>0.68277299999999996</v>
      </c>
      <c r="N4" s="3">
        <v>106.230881</v>
      </c>
      <c r="O4" s="3">
        <v>38</v>
      </c>
      <c r="P4">
        <v>0.49</v>
      </c>
      <c r="Q4" s="1">
        <v>8292.3046880000002</v>
      </c>
      <c r="R4" s="1">
        <f>Table1342[[#This Row],[Model Q kg h−1]]-Table1342[[#This Row],[Q kg h−1]]</f>
        <v>-204.69531199999983</v>
      </c>
      <c r="S4" s="3">
        <f>Table1342[[#This Row],[Model Q kg h−1]]/1000</f>
        <v>8.2923046879999998</v>
      </c>
      <c r="T4" s="1">
        <f>100/Table1342[[#This Row],[Q kg h−1]]*Table1342[[#This Row],[Model Q kg h−1]]</f>
        <v>97.590969612804514</v>
      </c>
      <c r="U4" t="s">
        <v>15</v>
      </c>
      <c r="V4" s="1" t="s">
        <v>13</v>
      </c>
      <c r="W4" s="2">
        <v>0.4375</v>
      </c>
    </row>
    <row r="5" spans="1:23" ht="21" customHeight="1">
      <c r="A5">
        <v>4</v>
      </c>
      <c r="B5" s="5">
        <v>44427</v>
      </c>
      <c r="C5" s="5">
        <v>44424</v>
      </c>
      <c r="D5" s="8" t="s">
        <v>31</v>
      </c>
      <c r="E5">
        <v>31.768999999999998</v>
      </c>
      <c r="F5">
        <v>6.0015000000000001</v>
      </c>
      <c r="G5">
        <v>4326</v>
      </c>
      <c r="H5">
        <v>2453</v>
      </c>
      <c r="I5">
        <f>100/Table1342[[#This Row],[Q kg h−1]]*Table1342[[#This Row],[Q ± kg h−1]]</f>
        <v>56.703652334720296</v>
      </c>
      <c r="J5">
        <f>Table1342[[#This Row],[Q kg h−1]]/1000</f>
        <v>4.3259999999999996</v>
      </c>
      <c r="L5">
        <f>Table1342[[#This Row],[IME]]/1000</f>
        <v>0</v>
      </c>
      <c r="M5" s="4">
        <v>0.13723099999999999</v>
      </c>
      <c r="N5" s="3">
        <v>43.174066000000003</v>
      </c>
      <c r="O5" s="3">
        <v>13</v>
      </c>
      <c r="P5">
        <v>0.96</v>
      </c>
      <c r="Q5" s="1">
        <v>3301.2797850000002</v>
      </c>
      <c r="R5" s="1">
        <f>Table1342[[#This Row],[Model Q kg h−1]]-Table1342[[#This Row],[Q kg h−1]]</f>
        <v>-1024.7202149999998</v>
      </c>
      <c r="S5" s="3">
        <f>Table1342[[#This Row],[Model Q kg h−1]]/1000</f>
        <v>3.3012797850000002</v>
      </c>
      <c r="T5" s="1">
        <f>100/Table1342[[#This Row],[Q kg h−1]]*Table1342[[#This Row],[Model Q kg h−1]]</f>
        <v>76.312523925104017</v>
      </c>
      <c r="U5" t="s">
        <v>16</v>
      </c>
      <c r="V5" s="1" t="s">
        <v>17</v>
      </c>
      <c r="W5" s="2">
        <v>0.3888888888888889</v>
      </c>
    </row>
    <row r="6" spans="1:23" ht="21" customHeight="1">
      <c r="A6">
        <v>5</v>
      </c>
      <c r="B6" s="5">
        <v>44427</v>
      </c>
      <c r="C6" s="5">
        <v>44424</v>
      </c>
      <c r="D6" s="8" t="s">
        <v>32</v>
      </c>
      <c r="E6">
        <v>31.7789</v>
      </c>
      <c r="F6">
        <v>5.9951999999999996</v>
      </c>
      <c r="G6">
        <v>2160</v>
      </c>
      <c r="H6">
        <v>1108</v>
      </c>
      <c r="I6">
        <f>100/Table1342[[#This Row],[Q kg h−1]]*Table1342[[#This Row],[Q ± kg h−1]]</f>
        <v>51.296296296296291</v>
      </c>
      <c r="J6">
        <f>Table1342[[#This Row],[Q kg h−1]]/1000</f>
        <v>2.16</v>
      </c>
      <c r="L6">
        <f>Table1342[[#This Row],[IME]]/1000</f>
        <v>0</v>
      </c>
      <c r="M6" s="4">
        <v>9.5424999999999996E-2</v>
      </c>
      <c r="N6" s="3">
        <v>13.601471</v>
      </c>
      <c r="O6" s="3">
        <v>11</v>
      </c>
      <c r="P6">
        <v>0.96</v>
      </c>
      <c r="Q6" s="1">
        <v>2645.9470209999999</v>
      </c>
      <c r="R6" s="1">
        <f>Table1342[[#This Row],[Model Q kg h−1]]-Table1342[[#This Row],[Q kg h−1]]</f>
        <v>485.94702099999995</v>
      </c>
      <c r="S6" s="3">
        <f>Table1342[[#This Row],[Model Q kg h−1]]/1000</f>
        <v>2.645947021</v>
      </c>
      <c r="T6" s="1">
        <f>100/Table1342[[#This Row],[Q kg h−1]]*Table1342[[#This Row],[Model Q kg h−1]]</f>
        <v>122.4975472685185</v>
      </c>
      <c r="U6" t="s">
        <v>16</v>
      </c>
      <c r="V6" s="1" t="s">
        <v>17</v>
      </c>
      <c r="W6" s="2">
        <v>0.3888888888888889</v>
      </c>
    </row>
    <row r="7" spans="1:23" ht="21" customHeight="1">
      <c r="A7">
        <v>6</v>
      </c>
      <c r="B7" s="5">
        <v>44427</v>
      </c>
      <c r="C7" s="5">
        <v>44424</v>
      </c>
      <c r="D7" s="8" t="s">
        <v>33</v>
      </c>
      <c r="E7">
        <v>31.798100000000002</v>
      </c>
      <c r="F7">
        <v>6.0106999999999999</v>
      </c>
      <c r="G7">
        <v>2757</v>
      </c>
      <c r="H7">
        <v>1297</v>
      </c>
      <c r="I7">
        <f>100/Table1342[[#This Row],[Q kg h−1]]*Table1342[[#This Row],[Q ± kg h−1]]</f>
        <v>47.043888284367064</v>
      </c>
      <c r="J7">
        <f>Table1342[[#This Row],[Q kg h−1]]/1000</f>
        <v>2.7570000000000001</v>
      </c>
      <c r="L7">
        <f>Table1342[[#This Row],[IME]]/1000</f>
        <v>0</v>
      </c>
      <c r="M7" s="4">
        <v>0.10079200000000001</v>
      </c>
      <c r="N7" s="3">
        <v>16.124514999999999</v>
      </c>
      <c r="O7" s="3">
        <v>8</v>
      </c>
      <c r="P7">
        <v>0.96</v>
      </c>
      <c r="Q7" s="1">
        <v>3080.961182</v>
      </c>
      <c r="R7" s="1">
        <f>Table1342[[#This Row],[Model Q kg h−1]]-Table1342[[#This Row],[Q kg h−1]]</f>
        <v>323.96118200000001</v>
      </c>
      <c r="S7" s="3">
        <f>Table1342[[#This Row],[Model Q kg h−1]]/1000</f>
        <v>3.0809611819999998</v>
      </c>
      <c r="T7" s="1">
        <f>100/Table1342[[#This Row],[Q kg h−1]]*Table1342[[#This Row],[Model Q kg h−1]]</f>
        <v>111.75049626405513</v>
      </c>
      <c r="U7" t="s">
        <v>16</v>
      </c>
      <c r="V7" s="1" t="s">
        <v>17</v>
      </c>
      <c r="W7" s="2">
        <v>0.3888888888888889</v>
      </c>
    </row>
    <row r="8" spans="1:23" ht="21" customHeight="1">
      <c r="A8">
        <v>7</v>
      </c>
      <c r="B8" s="5">
        <v>43837</v>
      </c>
      <c r="C8" s="5">
        <v>43834</v>
      </c>
      <c r="D8" s="8" t="s">
        <v>34</v>
      </c>
      <c r="E8">
        <v>31.658999999999999</v>
      </c>
      <c r="F8">
        <v>5.9055</v>
      </c>
      <c r="G8">
        <v>8240</v>
      </c>
      <c r="H8" s="6">
        <v>2101</v>
      </c>
      <c r="I8">
        <f>100/Table1342[[#This Row],[Q kg h−1]]*Table1342[[#This Row],[Q ± kg h−1]]</f>
        <v>25.497572815533982</v>
      </c>
      <c r="J8" s="6">
        <f>Table1342[[#This Row],[Q kg h−1]]/1000</f>
        <v>8.24</v>
      </c>
      <c r="K8" s="6">
        <v>10779.58</v>
      </c>
      <c r="L8">
        <f>Table1342[[#This Row],[IME]]/1000</f>
        <v>10.779579999999999</v>
      </c>
      <c r="M8" s="4">
        <v>0.69219900000000001</v>
      </c>
      <c r="N8" s="3">
        <v>164.12495200000001</v>
      </c>
      <c r="O8" s="3">
        <v>64</v>
      </c>
      <c r="P8">
        <v>1.44</v>
      </c>
      <c r="Q8" s="1">
        <v>8611.6923829999996</v>
      </c>
      <c r="R8" s="1">
        <f>Table1342[[#This Row],[Model Q kg h−1]]-Table1342[[#This Row],[Q kg h−1]]</f>
        <v>371.69238299999961</v>
      </c>
      <c r="S8" s="3">
        <f>Table1342[[#This Row],[Model Q kg h−1]]/1000</f>
        <v>8.6116923829999994</v>
      </c>
      <c r="T8" s="1">
        <f>100/Table1342[[#This Row],[Q kg h−1]]*Table1342[[#This Row],[Model Q kg h−1]]</f>
        <v>104.51082989077669</v>
      </c>
      <c r="U8" t="s">
        <v>6</v>
      </c>
      <c r="V8" s="1" t="s">
        <v>13</v>
      </c>
      <c r="W8" s="2">
        <v>0.4375</v>
      </c>
    </row>
    <row r="9" spans="1:23" ht="21" customHeight="1">
      <c r="A9">
        <v>8</v>
      </c>
      <c r="B9" s="5">
        <v>44957</v>
      </c>
      <c r="C9" s="5">
        <v>44954</v>
      </c>
      <c r="D9" s="8" t="s">
        <v>35</v>
      </c>
      <c r="E9">
        <v>31.7775</v>
      </c>
      <c r="F9">
        <v>5.9954000000000001</v>
      </c>
      <c r="G9">
        <v>3400</v>
      </c>
      <c r="H9">
        <v>500</v>
      </c>
      <c r="I9">
        <f>100/Table1342[[#This Row],[Q kg h−1]]*Table1342[[#This Row],[Q ± kg h−1]]</f>
        <v>14.705882352941176</v>
      </c>
      <c r="J9">
        <f>Table1342[[#This Row],[Q kg h−1]]/1000</f>
        <v>3.4</v>
      </c>
      <c r="L9">
        <f>Table1342[[#This Row],[IME]]/1000</f>
        <v>0</v>
      </c>
      <c r="M9" s="4">
        <v>0.124114</v>
      </c>
      <c r="N9" s="3">
        <v>18.788294</v>
      </c>
      <c r="O9" s="3">
        <v>8</v>
      </c>
      <c r="P9">
        <v>2.2999999999999998</v>
      </c>
      <c r="Q9" s="1">
        <v>3441.4147950000001</v>
      </c>
      <c r="R9" s="1">
        <f>Table1342[[#This Row],[Model Q kg h−1]]-Table1342[[#This Row],[Q kg h−1]]</f>
        <v>41.41479500000014</v>
      </c>
      <c r="S9" s="3">
        <f>Table1342[[#This Row],[Model Q kg h−1]]/1000</f>
        <v>3.441414795</v>
      </c>
      <c r="T9" s="1">
        <f>100/Table1342[[#This Row],[Q kg h−1]]*Table1342[[#This Row],[Model Q kg h−1]]</f>
        <v>101.21808220588235</v>
      </c>
      <c r="U9" t="s">
        <v>19</v>
      </c>
      <c r="V9" s="1" t="s">
        <v>18</v>
      </c>
      <c r="W9" s="2">
        <v>0.49480324074074072</v>
      </c>
    </row>
    <row r="10" spans="1:23" ht="21" customHeight="1">
      <c r="A10">
        <v>9</v>
      </c>
      <c r="B10" s="5">
        <v>45564</v>
      </c>
      <c r="C10" s="5">
        <v>45562</v>
      </c>
      <c r="D10" s="8" t="s">
        <v>36</v>
      </c>
      <c r="E10">
        <v>31.777200000000001</v>
      </c>
      <c r="F10">
        <v>5.9934000000000003</v>
      </c>
      <c r="G10">
        <v>3000</v>
      </c>
      <c r="H10">
        <v>500</v>
      </c>
      <c r="I10">
        <f>100/Table1342[[#This Row],[Q kg h−1]]*Table1342[[#This Row],[Q ± kg h−1]]</f>
        <v>16.666666666666668</v>
      </c>
      <c r="J10">
        <f>Table1342[[#This Row],[Q kg h−1]]/1000</f>
        <v>3</v>
      </c>
      <c r="L10">
        <f>Table1342[[#This Row],[IME]]/1000</f>
        <v>0</v>
      </c>
      <c r="M10" s="4">
        <v>7.1960999999999997E-2</v>
      </c>
      <c r="N10" s="3">
        <v>20.124611999999999</v>
      </c>
      <c r="O10" s="3">
        <v>7</v>
      </c>
      <c r="P10">
        <v>8.8800000000000008</v>
      </c>
      <c r="Q10" s="1">
        <v>3734.4804690000001</v>
      </c>
      <c r="R10" s="1">
        <f>Table1342[[#This Row],[Model Q kg h−1]]-Table1342[[#This Row],[Q kg h−1]]</f>
        <v>734.48046900000008</v>
      </c>
      <c r="S10" s="3">
        <f>Table1342[[#This Row],[Model Q kg h−1]]/1000</f>
        <v>3.7344804690000002</v>
      </c>
      <c r="T10" s="1">
        <f>100/Table1342[[#This Row],[Q kg h−1]]*Table1342[[#This Row],[Model Q kg h−1]]</f>
        <v>124.48268230000001</v>
      </c>
      <c r="U10" t="s">
        <v>19</v>
      </c>
      <c r="V10" s="1" t="s">
        <v>18</v>
      </c>
      <c r="W10" s="2">
        <v>0.48041666666666666</v>
      </c>
    </row>
    <row r="11" spans="1:23" ht="21" customHeight="1">
      <c r="A11">
        <v>10</v>
      </c>
      <c r="B11" s="5">
        <v>43844</v>
      </c>
      <c r="C11" s="5">
        <v>43832</v>
      </c>
      <c r="D11" s="8" t="s">
        <v>37</v>
      </c>
      <c r="E11">
        <v>31.757100000000001</v>
      </c>
      <c r="F11">
        <v>6.1684000000000001</v>
      </c>
      <c r="G11">
        <v>3700</v>
      </c>
      <c r="H11">
        <v>1800</v>
      </c>
      <c r="I11">
        <f>100/Table1342[[#This Row],[Q kg h−1]]*Table1342[[#This Row],[Q ± kg h−1]]</f>
        <v>48.648648648648653</v>
      </c>
      <c r="J11">
        <f>Table1342[[#This Row],[Q kg h−1]]/1000</f>
        <v>3.7</v>
      </c>
      <c r="K11">
        <v>2688.63</v>
      </c>
      <c r="L11">
        <f>Table1342[[#This Row],[IME]]/1000</f>
        <v>2.6886300000000003</v>
      </c>
      <c r="M11" s="4">
        <v>0.33289000000000002</v>
      </c>
      <c r="N11" s="3">
        <v>53.460265999999997</v>
      </c>
      <c r="O11" s="3">
        <v>30</v>
      </c>
      <c r="P11">
        <v>1.92</v>
      </c>
      <c r="Q11" s="1">
        <v>4265.9804690000001</v>
      </c>
      <c r="R11" s="1">
        <f>Table1342[[#This Row],[Model Q kg h−1]]-Table1342[[#This Row],[Q kg h−1]]</f>
        <v>565.98046900000008</v>
      </c>
      <c r="S11" s="3">
        <f>Table1342[[#This Row],[Model Q kg h−1]]/1000</f>
        <v>4.2659804690000005</v>
      </c>
      <c r="T11" s="1">
        <f>100/Table1342[[#This Row],[Q kg h−1]]*Table1342[[#This Row],[Model Q kg h−1]]</f>
        <v>115.29676943243244</v>
      </c>
      <c r="U11" t="s">
        <v>23</v>
      </c>
      <c r="V11" s="1" t="s">
        <v>13</v>
      </c>
      <c r="W11" s="2">
        <v>0.4375</v>
      </c>
    </row>
    <row r="12" spans="1:23" ht="21" customHeight="1">
      <c r="A12">
        <v>11</v>
      </c>
      <c r="B12" s="5">
        <v>43832</v>
      </c>
      <c r="C12" s="5">
        <v>43829</v>
      </c>
      <c r="D12" s="8" t="s">
        <v>38</v>
      </c>
      <c r="E12">
        <v>31.6172</v>
      </c>
      <c r="F12">
        <v>5.9673999999999996</v>
      </c>
      <c r="G12">
        <v>3600</v>
      </c>
      <c r="H12">
        <v>1800</v>
      </c>
      <c r="I12">
        <f>100/Table1342[[#This Row],[Q kg h−1]]*Table1342[[#This Row],[Q ± kg h−1]]</f>
        <v>50</v>
      </c>
      <c r="J12">
        <f>Table1342[[#This Row],[Q kg h−1]]/1000</f>
        <v>3.6</v>
      </c>
      <c r="K12">
        <v>2091.09</v>
      </c>
      <c r="L12">
        <f>Table1342[[#This Row],[IME]]/1000</f>
        <v>2.0910900000000003</v>
      </c>
      <c r="M12" s="4">
        <v>0.20668700000000001</v>
      </c>
      <c r="N12" s="3">
        <v>38.013156000000002</v>
      </c>
      <c r="O12" s="3">
        <v>13</v>
      </c>
      <c r="P12">
        <v>1.33</v>
      </c>
      <c r="Q12" s="1">
        <v>3440.4040530000002</v>
      </c>
      <c r="R12" s="1">
        <f>Table1342[[#This Row],[Model Q kg h−1]]-Table1342[[#This Row],[Q kg h−1]]</f>
        <v>-159.5959469999998</v>
      </c>
      <c r="S12" s="3">
        <f>Table1342[[#This Row],[Model Q kg h−1]]/1000</f>
        <v>3.4404040530000004</v>
      </c>
      <c r="T12" s="1">
        <f>100/Table1342[[#This Row],[Q kg h−1]]*Table1342[[#This Row],[Model Q kg h−1]]</f>
        <v>95.566779249999996</v>
      </c>
      <c r="U12" t="s">
        <v>23</v>
      </c>
      <c r="V12" s="1" t="s">
        <v>13</v>
      </c>
      <c r="W12" s="2">
        <v>0.4375</v>
      </c>
    </row>
    <row r="13" spans="1:23" ht="21" customHeight="1">
      <c r="A13">
        <v>12</v>
      </c>
      <c r="B13" s="5">
        <v>44049</v>
      </c>
      <c r="C13" s="5">
        <v>44044</v>
      </c>
      <c r="D13" s="8" t="s">
        <v>39</v>
      </c>
      <c r="E13">
        <v>31.7776</v>
      </c>
      <c r="F13">
        <v>5.9916999999999998</v>
      </c>
      <c r="G13">
        <v>4800</v>
      </c>
      <c r="H13">
        <v>2400</v>
      </c>
      <c r="I13">
        <f>100/Table1342[[#This Row],[Q kg h−1]]*Table1342[[#This Row],[Q ± kg h−1]]</f>
        <v>50</v>
      </c>
      <c r="J13">
        <f>Table1342[[#This Row],[Q kg h−1]]/1000</f>
        <v>4.8</v>
      </c>
      <c r="K13">
        <v>2359.0500000000002</v>
      </c>
      <c r="L13">
        <f>Table1342[[#This Row],[IME]]/1000</f>
        <v>2.3590500000000003</v>
      </c>
      <c r="M13" s="4">
        <v>7.0314000000000002E-2</v>
      </c>
      <c r="N13" s="3">
        <v>18.439088999999999</v>
      </c>
      <c r="O13" s="3">
        <v>8</v>
      </c>
      <c r="P13">
        <v>5.66</v>
      </c>
      <c r="Q13" s="1">
        <v>4302.6220700000003</v>
      </c>
      <c r="R13" s="1">
        <f>Table1342[[#This Row],[Model Q kg h−1]]-Table1342[[#This Row],[Q kg h−1]]</f>
        <v>-497.37792999999965</v>
      </c>
      <c r="S13" s="3">
        <f>Table1342[[#This Row],[Model Q kg h−1]]/1000</f>
        <v>4.30262207</v>
      </c>
      <c r="T13" s="1">
        <f>100/Table1342[[#This Row],[Q kg h−1]]*Table1342[[#This Row],[Model Q kg h−1]]</f>
        <v>89.637959791666674</v>
      </c>
      <c r="U13" t="s">
        <v>23</v>
      </c>
      <c r="V13" s="1" t="s">
        <v>13</v>
      </c>
      <c r="W13" s="2">
        <v>0.4375</v>
      </c>
    </row>
    <row r="14" spans="1:23" ht="21" customHeight="1">
      <c r="A14">
        <v>13</v>
      </c>
      <c r="B14" s="5">
        <v>44057</v>
      </c>
      <c r="C14" s="5">
        <v>44049</v>
      </c>
      <c r="D14" s="8" t="s">
        <v>40</v>
      </c>
      <c r="E14">
        <v>31.769200000000001</v>
      </c>
      <c r="F14">
        <v>5.9987000000000004</v>
      </c>
      <c r="G14">
        <v>3400</v>
      </c>
      <c r="H14">
        <v>1700</v>
      </c>
      <c r="I14">
        <f>100/Table1342[[#This Row],[Q kg h−1]]*Table1342[[#This Row],[Q ± kg h−1]]</f>
        <v>50</v>
      </c>
      <c r="J14">
        <f>Table1342[[#This Row],[Q kg h−1]]/1000</f>
        <v>3.4</v>
      </c>
      <c r="K14">
        <v>3270.14</v>
      </c>
      <c r="L14">
        <f>Table1342[[#This Row],[IME]]/1000</f>
        <v>3.27014</v>
      </c>
      <c r="M14" s="4">
        <v>0.100685</v>
      </c>
      <c r="N14" s="3">
        <v>21.540659000000002</v>
      </c>
      <c r="O14" s="3">
        <v>13</v>
      </c>
      <c r="P14">
        <v>5.13</v>
      </c>
      <c r="Q14" s="1">
        <v>3833.443115</v>
      </c>
      <c r="R14" s="1">
        <f>Table1342[[#This Row],[Model Q kg h−1]]-Table1342[[#This Row],[Q kg h−1]]</f>
        <v>433.44311500000003</v>
      </c>
      <c r="S14" s="3">
        <f>Table1342[[#This Row],[Model Q kg h−1]]/1000</f>
        <v>3.8334431150000001</v>
      </c>
      <c r="T14" s="1">
        <f>100/Table1342[[#This Row],[Q kg h−1]]*Table1342[[#This Row],[Model Q kg h−1]]</f>
        <v>112.74832691176471</v>
      </c>
      <c r="U14" t="s">
        <v>23</v>
      </c>
      <c r="V14" s="1" t="s">
        <v>13</v>
      </c>
      <c r="W14" s="2">
        <v>0.4375</v>
      </c>
    </row>
    <row r="15" spans="1:23" ht="21" customHeight="1">
      <c r="A15">
        <v>14</v>
      </c>
      <c r="B15" s="5">
        <v>43889</v>
      </c>
      <c r="C15" s="5">
        <v>43887</v>
      </c>
      <c r="D15" s="8" t="s">
        <v>41</v>
      </c>
      <c r="E15">
        <v>31.734100000000002</v>
      </c>
      <c r="F15">
        <v>5.9676999999999998</v>
      </c>
      <c r="G15">
        <v>2700</v>
      </c>
      <c r="H15">
        <v>1400</v>
      </c>
      <c r="I15">
        <f>100/Table1342[[#This Row],[Q kg h−1]]*Table1342[[#This Row],[Q ± kg h−1]]</f>
        <v>51.851851851851848</v>
      </c>
      <c r="J15">
        <f>Table1342[[#This Row],[Q kg h−1]]/1000</f>
        <v>2.7</v>
      </c>
      <c r="M15" s="4">
        <v>0.27582800000000002</v>
      </c>
      <c r="N15" s="3">
        <v>60.745370000000001</v>
      </c>
      <c r="O15" s="3">
        <v>30</v>
      </c>
      <c r="P15">
        <v>0.22</v>
      </c>
      <c r="Q15" s="1">
        <v>3286.6740719999998</v>
      </c>
      <c r="R15" s="1">
        <f>Table1342[[#This Row],[Model Q kg h−1]]-Table1342[[#This Row],[Q kg h−1]]</f>
        <v>586.6740719999998</v>
      </c>
      <c r="S15" s="3">
        <f>Table1342[[#This Row],[Model Q kg h−1]]/1000</f>
        <v>3.2866740719999998</v>
      </c>
      <c r="T15" s="1">
        <f>100/Table1342[[#This Row],[Q kg h−1]]*Table1342[[#This Row],[Model Q kg h−1]]</f>
        <v>121.72866933333331</v>
      </c>
      <c r="U15" t="s">
        <v>23</v>
      </c>
      <c r="V15" s="1" t="s">
        <v>13</v>
      </c>
      <c r="W15" s="2">
        <v>0.4375</v>
      </c>
    </row>
    <row r="16" spans="1:23" ht="21" customHeight="1">
      <c r="A16">
        <v>15</v>
      </c>
      <c r="B16" s="5">
        <v>43889</v>
      </c>
      <c r="C16" s="5">
        <v>43887</v>
      </c>
      <c r="D16" s="8" t="s">
        <v>42</v>
      </c>
      <c r="E16">
        <v>31.756900000000002</v>
      </c>
      <c r="F16">
        <v>5.9421999999999997</v>
      </c>
      <c r="G16">
        <v>2100</v>
      </c>
      <c r="H16">
        <v>1000</v>
      </c>
      <c r="I16">
        <f>100/Table1342[[#This Row],[Q kg h−1]]*Table1342[[#This Row],[Q ± kg h−1]]</f>
        <v>47.619047619047613</v>
      </c>
      <c r="J16">
        <f>Table1342[[#This Row],[Q kg h−1]]/1000</f>
        <v>2.1</v>
      </c>
      <c r="M16" s="4">
        <v>6.7851999999999996E-2</v>
      </c>
      <c r="N16" s="3">
        <v>8.4852810000000005</v>
      </c>
      <c r="O16" s="3">
        <v>6</v>
      </c>
      <c r="P16">
        <v>0.22</v>
      </c>
      <c r="Q16" s="1">
        <v>2630.8718260000001</v>
      </c>
      <c r="R16" s="1">
        <f>Table1342[[#This Row],[Model Q kg h−1]]-Table1342[[#This Row],[Q kg h−1]]</f>
        <v>530.87182600000006</v>
      </c>
      <c r="S16" s="3">
        <f>Table1342[[#This Row],[Model Q kg h−1]]/1000</f>
        <v>2.6308718259999999</v>
      </c>
      <c r="T16" s="1">
        <f>100/Table1342[[#This Row],[Q kg h−1]]*Table1342[[#This Row],[Model Q kg h−1]]</f>
        <v>125.27961076190476</v>
      </c>
      <c r="U16" t="s">
        <v>23</v>
      </c>
      <c r="V16" s="1" t="s">
        <v>13</v>
      </c>
      <c r="W16" s="2">
        <v>0.4375</v>
      </c>
    </row>
    <row r="17" spans="1:23" ht="21" customHeight="1">
      <c r="A17">
        <v>16</v>
      </c>
      <c r="B17" s="5">
        <v>44042</v>
      </c>
      <c r="C17" s="5">
        <v>44034</v>
      </c>
      <c r="D17" s="8" t="s">
        <v>43</v>
      </c>
      <c r="E17">
        <v>31.66</v>
      </c>
      <c r="F17">
        <v>5.8986000000000001</v>
      </c>
      <c r="G17">
        <v>14800</v>
      </c>
      <c r="H17">
        <v>7400</v>
      </c>
      <c r="I17">
        <f>100/Table1342[[#This Row],[Q kg h−1]]*Table1342[[#This Row],[Q ± kg h−1]]</f>
        <v>50</v>
      </c>
      <c r="J17">
        <f>Table1342[[#This Row],[Q kg h−1]]/1000</f>
        <v>14.8</v>
      </c>
      <c r="K17">
        <v>10536.46</v>
      </c>
      <c r="L17">
        <f>Table1342[[#This Row],[IME]]/1000</f>
        <v>10.53646</v>
      </c>
      <c r="M17" s="4">
        <v>0.430201</v>
      </c>
      <c r="N17" s="3">
        <v>72.173401999999996</v>
      </c>
      <c r="O17" s="3">
        <v>35</v>
      </c>
      <c r="P17">
        <v>5.51</v>
      </c>
      <c r="Q17" s="1">
        <v>13143.138671999999</v>
      </c>
      <c r="R17" s="1">
        <f>Table1342[[#This Row],[Model Q kg h−1]]-Table1342[[#This Row],[Q kg h−1]]</f>
        <v>-1656.8613280000009</v>
      </c>
      <c r="S17" s="3">
        <f>Table1342[[#This Row],[Model Q kg h−1]]/1000</f>
        <v>13.143138671999999</v>
      </c>
      <c r="T17" s="1">
        <f>100/Table1342[[#This Row],[Q kg h−1]]*Table1342[[#This Row],[Model Q kg h−1]]</f>
        <v>88.804991027027029</v>
      </c>
      <c r="U17" t="s">
        <v>23</v>
      </c>
      <c r="V17" s="1" t="s">
        <v>13</v>
      </c>
      <c r="W17" s="2">
        <v>0.4375</v>
      </c>
    </row>
    <row r="18" spans="1:23">
      <c r="B18" s="5"/>
      <c r="C18" s="5"/>
      <c r="D18" s="8"/>
      <c r="E18" s="8"/>
      <c r="I18" t="e">
        <f>100/Table1342[[#This Row],[Q kg h−1]]*Table1342[[#This Row],[Q ± kg h−1]]</f>
        <v>#DIV/0!</v>
      </c>
      <c r="J18">
        <f>Table1342[[#This Row],[Q kg h−1]]/1000</f>
        <v>0</v>
      </c>
      <c r="L18">
        <f>Table1342[[#This Row],[IME]]/1000</f>
        <v>0</v>
      </c>
      <c r="M18" s="4"/>
      <c r="N18" s="3"/>
      <c r="O18" s="3"/>
      <c r="Q18" s="1"/>
      <c r="R18" s="1">
        <f>Table1342[[#This Row],[Model Q kg h−1]]-Table1342[[#This Row],[Q kg h−1]]</f>
        <v>0</v>
      </c>
      <c r="S18" s="3">
        <f>Table1342[[#This Row],[Model Q kg h−1]]/1000</f>
        <v>0</v>
      </c>
      <c r="T18" s="1" t="e">
        <f>100/Table1342[[#This Row],[Q kg h−1]]*Table1342[[#This Row],[Model Q kg h−1]]</f>
        <v>#DIV/0!</v>
      </c>
      <c r="V18" s="1"/>
      <c r="W18" s="2"/>
    </row>
    <row r="21" spans="1:23">
      <c r="N21" s="7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2D59B-51B3-410D-89FA-36B5827EC7D6}">
  <dimension ref="A1:Z21"/>
  <sheetViews>
    <sheetView topLeftCell="E18" zoomScale="130" zoomScaleNormal="130" workbookViewId="0">
      <selection activeCell="M24" sqref="M24"/>
    </sheetView>
  </sheetViews>
  <sheetFormatPr defaultRowHeight="14.25"/>
  <cols>
    <col min="1" max="1" width="4.375" customWidth="1"/>
    <col min="2" max="2" width="11.125" customWidth="1"/>
    <col min="3" max="3" width="13.5" hidden="1" customWidth="1"/>
    <col min="4" max="4" width="14.25" hidden="1" customWidth="1"/>
    <col min="5" max="5" width="8.75" bestFit="1" customWidth="1"/>
    <col min="6" max="6" width="7.5" customWidth="1"/>
    <col min="7" max="7" width="7.75" customWidth="1"/>
    <col min="8" max="9" width="8.875" customWidth="1"/>
    <col min="10" max="10" width="10.625" customWidth="1"/>
    <col min="11" max="11" width="8.875" customWidth="1"/>
    <col min="12" max="12" width="13.875" customWidth="1"/>
    <col min="13" max="13" width="15" customWidth="1"/>
    <col min="14" max="15" width="13.875" customWidth="1"/>
    <col min="16" max="16" width="11.625" customWidth="1"/>
    <col min="17" max="17" width="10.625" customWidth="1"/>
    <col min="18" max="18" width="11.375" customWidth="1"/>
    <col min="19" max="19" width="12.875" customWidth="1"/>
    <col min="20" max="20" width="12.125" customWidth="1"/>
    <col min="21" max="22" width="10" customWidth="1"/>
    <col min="23" max="23" width="16.875" customWidth="1"/>
    <col min="24" max="24" width="15.875" bestFit="1" customWidth="1"/>
    <col min="25" max="25" width="16.25" hidden="1" customWidth="1"/>
    <col min="26" max="26" width="0" hidden="1" customWidth="1"/>
  </cols>
  <sheetData>
    <row r="1" spans="1:26" ht="21" customHeight="1">
      <c r="A1" t="s">
        <v>47</v>
      </c>
      <c r="B1" t="s">
        <v>21</v>
      </c>
      <c r="C1" t="s">
        <v>22</v>
      </c>
      <c r="D1" t="s">
        <v>44</v>
      </c>
      <c r="E1" t="s">
        <v>1</v>
      </c>
      <c r="F1" t="s">
        <v>2</v>
      </c>
      <c r="G1" t="s">
        <v>48</v>
      </c>
      <c r="H1" t="s">
        <v>11</v>
      </c>
      <c r="I1" t="s">
        <v>27</v>
      </c>
      <c r="J1" t="s">
        <v>56</v>
      </c>
      <c r="K1" t="s">
        <v>52</v>
      </c>
      <c r="L1" t="s">
        <v>53</v>
      </c>
      <c r="M1" t="s">
        <v>50</v>
      </c>
      <c r="N1" t="s">
        <v>49</v>
      </c>
      <c r="O1" t="s">
        <v>66</v>
      </c>
      <c r="P1" t="s">
        <v>9</v>
      </c>
      <c r="Q1" t="s">
        <v>26</v>
      </c>
      <c r="R1" t="s">
        <v>24</v>
      </c>
      <c r="S1" t="s">
        <v>10</v>
      </c>
      <c r="T1" t="s">
        <v>7</v>
      </c>
      <c r="U1" t="s">
        <v>20</v>
      </c>
      <c r="V1" t="s">
        <v>46</v>
      </c>
      <c r="W1" t="s">
        <v>25</v>
      </c>
      <c r="X1" t="s">
        <v>8</v>
      </c>
      <c r="Y1" t="s">
        <v>12</v>
      </c>
      <c r="Z1" t="s">
        <v>14</v>
      </c>
    </row>
    <row r="2" spans="1:26" ht="21" customHeight="1">
      <c r="A2">
        <v>1</v>
      </c>
      <c r="B2" s="5">
        <v>43789</v>
      </c>
      <c r="C2" s="5">
        <v>43787</v>
      </c>
      <c r="D2" s="8" t="s">
        <v>30</v>
      </c>
      <c r="E2">
        <v>31.6585</v>
      </c>
      <c r="F2">
        <v>5.9053000000000004</v>
      </c>
      <c r="G2">
        <v>8497</v>
      </c>
      <c r="H2">
        <v>5700</v>
      </c>
      <c r="I2">
        <f>100/Table13423[[#This Row],[Study Q]]*Table13423[[#This Row],[Q ± kg h−1]]</f>
        <v>67.082499705778503</v>
      </c>
      <c r="J2">
        <f>Table13423[[#This Row],[Study Q]]/1000</f>
        <v>8.4969999999999999</v>
      </c>
      <c r="K2">
        <v>10043.969999999999</v>
      </c>
      <c r="L2">
        <f>Table13423[[#This Row],[CSF Q kg−1]]/1000</f>
        <v>10.04397</v>
      </c>
      <c r="M2" s="10" t="s">
        <v>51</v>
      </c>
      <c r="N2">
        <v>5259.42</v>
      </c>
      <c r="O2">
        <f>Table13423[[#This Row],[IME Q]]/1000</f>
        <v>5.2594200000000004</v>
      </c>
      <c r="P2" s="4">
        <v>0.68277299999999996</v>
      </c>
      <c r="Q2" s="3">
        <v>106.230881</v>
      </c>
      <c r="R2" s="3">
        <v>38</v>
      </c>
      <c r="S2">
        <v>0.49</v>
      </c>
      <c r="T2" s="1">
        <v>8292.3046880000002</v>
      </c>
      <c r="U2" s="1">
        <f>Table13423[[#This Row],[Model Q kg h−1]]-Table13423[[#This Row],[Study Q]]</f>
        <v>-204.69531199999983</v>
      </c>
      <c r="V2" s="3">
        <f>Table13423[[#This Row],[Model Q kg h−1]]/1000</f>
        <v>8.2923046879999998</v>
      </c>
      <c r="W2" s="1">
        <f>100/Table13423[[#This Row],[Study Q]]*Table13423[[#This Row],[Model Q kg h−1]]</f>
        <v>97.590969612804514</v>
      </c>
      <c r="X2" t="s">
        <v>15</v>
      </c>
      <c r="Y2" s="1" t="s">
        <v>13</v>
      </c>
      <c r="Z2" s="2">
        <v>0.4375</v>
      </c>
    </row>
    <row r="3" spans="1:26" ht="21" customHeight="1">
      <c r="A3">
        <v>1</v>
      </c>
      <c r="B3" s="5">
        <v>44042</v>
      </c>
      <c r="C3" s="5">
        <v>44034</v>
      </c>
      <c r="D3" s="8" t="s">
        <v>43</v>
      </c>
      <c r="E3">
        <v>31.66</v>
      </c>
      <c r="F3">
        <v>5.8986000000000001</v>
      </c>
      <c r="G3">
        <v>14800</v>
      </c>
      <c r="H3">
        <v>7400</v>
      </c>
      <c r="I3">
        <f>100/Table13423[[#This Row],[Study Q]]*Table13423[[#This Row],[Q ± kg h−1]]</f>
        <v>50</v>
      </c>
      <c r="J3">
        <f>Table13423[[#This Row],[Study Q]]/1000</f>
        <v>14.8</v>
      </c>
      <c r="K3">
        <v>26939.98</v>
      </c>
      <c r="L3">
        <f>Table13423[[#This Row],[CSF Q kg−1]]/1000</f>
        <v>26.939979999999998</v>
      </c>
      <c r="M3" s="10" t="s">
        <v>51</v>
      </c>
      <c r="N3">
        <v>10536.46</v>
      </c>
      <c r="O3">
        <f>Table13423[[#This Row],[IME Q]]/1000</f>
        <v>10.53646</v>
      </c>
      <c r="P3" s="4">
        <v>0.430201</v>
      </c>
      <c r="Q3" s="3">
        <v>72.173401999999996</v>
      </c>
      <c r="R3" s="3">
        <v>35</v>
      </c>
      <c r="S3">
        <v>5.51</v>
      </c>
      <c r="T3" s="1">
        <v>13143.138671999999</v>
      </c>
      <c r="U3" s="1">
        <f>Table13423[[#This Row],[Model Q kg h−1]]-Table13423[[#This Row],[Study Q]]</f>
        <v>-1656.8613280000009</v>
      </c>
      <c r="V3" s="3">
        <f>Table13423[[#This Row],[Model Q kg h−1]]/1000</f>
        <v>13.143138671999999</v>
      </c>
      <c r="W3" s="1">
        <f>100/Table13423[[#This Row],[Study Q]]*Table13423[[#This Row],[Model Q kg h−1]]</f>
        <v>88.804991027027029</v>
      </c>
      <c r="X3" t="s">
        <v>23</v>
      </c>
      <c r="Y3" s="1" t="s">
        <v>13</v>
      </c>
      <c r="Z3" s="2">
        <v>0.4375</v>
      </c>
    </row>
    <row r="4" spans="1:26" ht="21" customHeight="1">
      <c r="A4">
        <v>2</v>
      </c>
      <c r="B4" s="5">
        <v>43832</v>
      </c>
      <c r="C4" s="5">
        <v>43829</v>
      </c>
      <c r="D4" s="8" t="s">
        <v>38</v>
      </c>
      <c r="E4">
        <v>31.6172</v>
      </c>
      <c r="F4">
        <v>5.9673999999999996</v>
      </c>
      <c r="G4">
        <v>3600</v>
      </c>
      <c r="H4">
        <v>1800</v>
      </c>
      <c r="I4">
        <f>100/Table13423[[#This Row],[Study Q]]*Table13423[[#This Row],[Q ± kg h−1]]</f>
        <v>50</v>
      </c>
      <c r="J4">
        <f>Table13423[[#This Row],[Study Q]]/1000</f>
        <v>3.6</v>
      </c>
      <c r="K4">
        <v>2966.39</v>
      </c>
      <c r="L4">
        <f>Table13423[[#This Row],[CSF Q kg−1]]/1000</f>
        <v>2.9663900000000001</v>
      </c>
      <c r="M4" s="10" t="s">
        <v>51</v>
      </c>
      <c r="N4">
        <v>2559.87</v>
      </c>
      <c r="O4">
        <f>Table13423[[#This Row],[IME Q]]/1000</f>
        <v>2.5598700000000001</v>
      </c>
      <c r="P4" s="4">
        <v>0.20668700000000001</v>
      </c>
      <c r="Q4" s="3">
        <v>38.013156000000002</v>
      </c>
      <c r="R4" s="3">
        <v>13</v>
      </c>
      <c r="S4">
        <v>1.33</v>
      </c>
      <c r="T4" s="1">
        <v>3440.4040530000002</v>
      </c>
      <c r="U4" s="1">
        <f>Table13423[[#This Row],[Model Q kg h−1]]-Table13423[[#This Row],[Study Q]]</f>
        <v>-159.5959469999998</v>
      </c>
      <c r="V4" s="3">
        <f>Table13423[[#This Row],[Model Q kg h−1]]/1000</f>
        <v>3.4404040530000004</v>
      </c>
      <c r="W4" s="1">
        <f>100/Table13423[[#This Row],[Study Q]]*Table13423[[#This Row],[Model Q kg h−1]]</f>
        <v>95.566779249999996</v>
      </c>
      <c r="X4" t="s">
        <v>23</v>
      </c>
      <c r="Y4" s="1" t="s">
        <v>13</v>
      </c>
      <c r="Z4" s="2">
        <v>0.4375</v>
      </c>
    </row>
    <row r="5" spans="1:26" ht="21" hidden="1" customHeight="1">
      <c r="A5">
        <v>6</v>
      </c>
      <c r="B5" s="5">
        <v>44427</v>
      </c>
      <c r="C5" s="5">
        <v>44424</v>
      </c>
      <c r="D5" s="8" t="s">
        <v>31</v>
      </c>
      <c r="E5">
        <v>31.768999999999998</v>
      </c>
      <c r="F5">
        <v>6.0015000000000001</v>
      </c>
      <c r="G5">
        <v>4326</v>
      </c>
      <c r="H5">
        <v>2453</v>
      </c>
      <c r="I5">
        <f>100/Table13423[[#This Row],[Study Q]]*Table13423[[#This Row],[Q ± kg h−1]]</f>
        <v>56.703652334720296</v>
      </c>
      <c r="J5">
        <f>Table13423[[#This Row],[Study Q]]/1000</f>
        <v>4.3259999999999996</v>
      </c>
      <c r="K5">
        <v>2556.73</v>
      </c>
      <c r="L5">
        <f>Table13423[[#This Row],[CSF Q kg−1]]/1000</f>
        <v>2.5567299999999999</v>
      </c>
      <c r="M5" s="10"/>
      <c r="N5">
        <v>2257.7399999999998</v>
      </c>
      <c r="O5">
        <f>Table13423[[#This Row],[IME Q]]/1000</f>
        <v>2.2577399999999996</v>
      </c>
      <c r="P5" s="4">
        <v>0.13723099999999999</v>
      </c>
      <c r="Q5" s="3">
        <v>43.174066000000003</v>
      </c>
      <c r="R5" s="3">
        <v>13</v>
      </c>
      <c r="S5">
        <v>0.96</v>
      </c>
      <c r="T5" s="1">
        <v>3301.2797850000002</v>
      </c>
      <c r="U5" s="1">
        <f>Table13423[[#This Row],[Model Q kg h−1]]-Table13423[[#This Row],[Study Q]]</f>
        <v>-1024.7202149999998</v>
      </c>
      <c r="V5" s="3">
        <f>Table13423[[#This Row],[Model Q kg h−1]]/1000</f>
        <v>3.3012797850000002</v>
      </c>
      <c r="W5" s="1">
        <f>100/Table13423[[#This Row],[Study Q]]*Table13423[[#This Row],[Model Q kg h−1]]</f>
        <v>76.312523925104017</v>
      </c>
      <c r="X5" t="s">
        <v>16</v>
      </c>
      <c r="Y5" s="1" t="s">
        <v>17</v>
      </c>
      <c r="Z5" s="2">
        <v>0.3888888888888889</v>
      </c>
    </row>
    <row r="6" spans="1:26" ht="21" hidden="1" customHeight="1">
      <c r="A6">
        <v>7</v>
      </c>
      <c r="B6" s="5">
        <v>44427</v>
      </c>
      <c r="C6" s="5">
        <v>44424</v>
      </c>
      <c r="D6" s="8" t="s">
        <v>32</v>
      </c>
      <c r="E6">
        <v>31.7789</v>
      </c>
      <c r="F6">
        <v>5.9951999999999996</v>
      </c>
      <c r="G6">
        <v>2160</v>
      </c>
      <c r="H6">
        <v>1108</v>
      </c>
      <c r="I6">
        <f>100/Table13423[[#This Row],[Study Q]]*Table13423[[#This Row],[Q ± kg h−1]]</f>
        <v>51.296296296296291</v>
      </c>
      <c r="J6">
        <f>Table13423[[#This Row],[Study Q]]/1000</f>
        <v>2.16</v>
      </c>
      <c r="K6">
        <v>2117.54</v>
      </c>
      <c r="L6">
        <f>Table13423[[#This Row],[CSF Q kg−1]]/1000</f>
        <v>2.11754</v>
      </c>
      <c r="M6" s="10"/>
      <c r="N6">
        <v>2072.4299999999998</v>
      </c>
      <c r="O6">
        <f>Table13423[[#This Row],[IME Q]]/1000</f>
        <v>2.0724299999999998</v>
      </c>
      <c r="P6" s="4">
        <v>9.5424999999999996E-2</v>
      </c>
      <c r="Q6" s="3">
        <v>13.601471</v>
      </c>
      <c r="R6" s="3">
        <v>11</v>
      </c>
      <c r="S6">
        <v>0.96</v>
      </c>
      <c r="T6" s="1">
        <v>2645.9470209999999</v>
      </c>
      <c r="U6" s="1">
        <f>Table13423[[#This Row],[Model Q kg h−1]]-Table13423[[#This Row],[Study Q]]</f>
        <v>485.94702099999995</v>
      </c>
      <c r="V6" s="3">
        <f>Table13423[[#This Row],[Model Q kg h−1]]/1000</f>
        <v>2.645947021</v>
      </c>
      <c r="W6" s="1">
        <f>100/Table13423[[#This Row],[Study Q]]*Table13423[[#This Row],[Model Q kg h−1]]</f>
        <v>122.4975472685185</v>
      </c>
      <c r="X6" t="s">
        <v>16</v>
      </c>
      <c r="Y6" s="1" t="s">
        <v>17</v>
      </c>
      <c r="Z6" s="2">
        <v>0.3888888888888889</v>
      </c>
    </row>
    <row r="7" spans="1:26" ht="21" hidden="1" customHeight="1">
      <c r="A7">
        <v>8</v>
      </c>
      <c r="B7" s="5">
        <v>44427</v>
      </c>
      <c r="C7" s="5">
        <v>44424</v>
      </c>
      <c r="D7" s="8" t="s">
        <v>33</v>
      </c>
      <c r="E7">
        <v>31.798100000000002</v>
      </c>
      <c r="F7">
        <v>6.0106999999999999</v>
      </c>
      <c r="G7">
        <v>2757</v>
      </c>
      <c r="H7">
        <v>1297</v>
      </c>
      <c r="I7">
        <f>100/Table13423[[#This Row],[Study Q]]*Table13423[[#This Row],[Q ± kg h−1]]</f>
        <v>47.043888284367064</v>
      </c>
      <c r="J7">
        <f>Table13423[[#This Row],[Study Q]]/1000</f>
        <v>2.7570000000000001</v>
      </c>
      <c r="K7">
        <v>2381.9899999999998</v>
      </c>
      <c r="L7">
        <f>Table13423[[#This Row],[CSF Q kg−1]]/1000</f>
        <v>2.3819899999999996</v>
      </c>
      <c r="M7" s="10"/>
      <c r="N7">
        <v>2105.92</v>
      </c>
      <c r="O7">
        <f>Table13423[[#This Row],[IME Q]]/1000</f>
        <v>2.1059200000000002</v>
      </c>
      <c r="P7" s="4">
        <v>0.10079200000000001</v>
      </c>
      <c r="Q7" s="3">
        <v>16.124514999999999</v>
      </c>
      <c r="R7" s="3">
        <v>8</v>
      </c>
      <c r="S7">
        <v>0.96</v>
      </c>
      <c r="T7" s="1">
        <v>3080.961182</v>
      </c>
      <c r="U7" s="1">
        <f>Table13423[[#This Row],[Model Q kg h−1]]-Table13423[[#This Row],[Study Q]]</f>
        <v>323.96118200000001</v>
      </c>
      <c r="V7" s="3">
        <f>Table13423[[#This Row],[Model Q kg h−1]]/1000</f>
        <v>3.0809611819999998</v>
      </c>
      <c r="W7" s="1">
        <f>100/Table13423[[#This Row],[Study Q]]*Table13423[[#This Row],[Model Q kg h−1]]</f>
        <v>111.75049626405513</v>
      </c>
      <c r="X7" t="s">
        <v>16</v>
      </c>
      <c r="Y7" s="1" t="s">
        <v>17</v>
      </c>
      <c r="Z7" s="2">
        <v>0.3888888888888889</v>
      </c>
    </row>
    <row r="8" spans="1:26" ht="21" customHeight="1">
      <c r="A8">
        <v>1</v>
      </c>
      <c r="B8" s="5">
        <v>43837</v>
      </c>
      <c r="C8" s="5">
        <v>43834</v>
      </c>
      <c r="D8" s="8" t="s">
        <v>34</v>
      </c>
      <c r="E8">
        <v>31.658999999999999</v>
      </c>
      <c r="F8">
        <v>5.9055</v>
      </c>
      <c r="G8">
        <v>8240</v>
      </c>
      <c r="H8" s="6">
        <v>2101</v>
      </c>
      <c r="I8" s="6"/>
      <c r="J8" s="6">
        <f>Table13423[[#This Row],[Study Q]]/1000</f>
        <v>8.24</v>
      </c>
      <c r="K8" s="6">
        <v>9108.65</v>
      </c>
      <c r="L8" s="6">
        <f>Table13423[[#This Row],[CSF Q kg−1]]/1000</f>
        <v>9.108649999999999</v>
      </c>
      <c r="M8" s="10" t="s">
        <v>51</v>
      </c>
      <c r="N8" s="6">
        <v>10779.58</v>
      </c>
      <c r="O8" s="6">
        <f>Table13423[[#This Row],[IME Q]]/1000</f>
        <v>10.779579999999999</v>
      </c>
      <c r="P8" s="4">
        <v>0.69219900000000001</v>
      </c>
      <c r="Q8" s="3">
        <v>164.12495200000001</v>
      </c>
      <c r="R8" s="3">
        <v>64</v>
      </c>
      <c r="S8">
        <v>1.44</v>
      </c>
      <c r="T8" s="1">
        <v>8611.6923829999996</v>
      </c>
      <c r="U8" s="1">
        <f>Table13423[[#This Row],[Model Q kg h−1]]-Table13423[[#This Row],[Study Q]]</f>
        <v>371.69238299999961</v>
      </c>
      <c r="V8" s="3">
        <f>Table13423[[#This Row],[Model Q kg h−1]]/1000</f>
        <v>8.6116923829999994</v>
      </c>
      <c r="W8" s="1">
        <f>100/Table13423[[#This Row],[Study Q]]*Table13423[[#This Row],[Model Q kg h−1]]</f>
        <v>104.51082989077669</v>
      </c>
      <c r="X8" t="s">
        <v>6</v>
      </c>
      <c r="Y8" s="1" t="s">
        <v>13</v>
      </c>
      <c r="Z8" s="2">
        <v>0.4375</v>
      </c>
    </row>
    <row r="9" spans="1:26" ht="21" hidden="1" customHeight="1">
      <c r="A9">
        <v>7</v>
      </c>
      <c r="B9" s="5">
        <v>44957</v>
      </c>
      <c r="C9" s="5">
        <v>44954</v>
      </c>
      <c r="D9" s="8" t="s">
        <v>35</v>
      </c>
      <c r="E9">
        <v>31.7775</v>
      </c>
      <c r="F9">
        <v>5.9954000000000001</v>
      </c>
      <c r="G9">
        <v>3400</v>
      </c>
      <c r="H9">
        <v>500</v>
      </c>
      <c r="I9">
        <f>100/Table13423[[#This Row],[Study Q]]*Table13423[[#This Row],[Q ± kg h−1]]</f>
        <v>14.705882352941176</v>
      </c>
      <c r="J9">
        <f>Table13423[[#This Row],[Study Q]]/1000</f>
        <v>3.4</v>
      </c>
      <c r="K9">
        <v>4430.7</v>
      </c>
      <c r="L9">
        <f>Table13423[[#This Row],[CSF Q kg−1]]/1000</f>
        <v>4.4306999999999999</v>
      </c>
      <c r="M9" s="10"/>
      <c r="N9">
        <v>4762.76</v>
      </c>
      <c r="O9">
        <f>Table13423[[#This Row],[IME Q]]/1000</f>
        <v>4.7627600000000001</v>
      </c>
      <c r="P9" s="4">
        <v>0.124114</v>
      </c>
      <c r="Q9" s="3">
        <v>18.788294</v>
      </c>
      <c r="R9" s="3">
        <v>8</v>
      </c>
      <c r="S9">
        <v>2.2999999999999998</v>
      </c>
      <c r="T9" s="1">
        <v>3441.4147950000001</v>
      </c>
      <c r="U9" s="1">
        <f>Table13423[[#This Row],[Model Q kg h−1]]-Table13423[[#This Row],[Study Q]]</f>
        <v>41.41479500000014</v>
      </c>
      <c r="V9" s="3">
        <f>Table13423[[#This Row],[Model Q kg h−1]]/1000</f>
        <v>3.441414795</v>
      </c>
      <c r="W9" s="1">
        <f>100/Table13423[[#This Row],[Study Q]]*Table13423[[#This Row],[Model Q kg h−1]]</f>
        <v>101.21808220588235</v>
      </c>
      <c r="X9" t="s">
        <v>19</v>
      </c>
      <c r="Y9" s="1" t="s">
        <v>18</v>
      </c>
      <c r="Z9" s="2">
        <v>0.49480324074074072</v>
      </c>
    </row>
    <row r="10" spans="1:26" ht="21" hidden="1" customHeight="1">
      <c r="A10">
        <v>7</v>
      </c>
      <c r="B10" s="5">
        <v>45564</v>
      </c>
      <c r="C10" s="5">
        <v>45562</v>
      </c>
      <c r="D10" s="8" t="s">
        <v>36</v>
      </c>
      <c r="E10">
        <v>31.777200000000001</v>
      </c>
      <c r="F10">
        <v>5.9934000000000003</v>
      </c>
      <c r="G10">
        <v>3000</v>
      </c>
      <c r="H10">
        <v>500</v>
      </c>
      <c r="I10">
        <f>100/Table13423[[#This Row],[Study Q]]*Table13423[[#This Row],[Q ± kg h−1]]</f>
        <v>16.666666666666668</v>
      </c>
      <c r="J10">
        <f>Table13423[[#This Row],[Study Q]]/1000</f>
        <v>3</v>
      </c>
      <c r="K10">
        <v>8863.7999999999993</v>
      </c>
      <c r="L10">
        <f>Table13423[[#This Row],[CSF Q kg−1]]/1000</f>
        <v>8.8637999999999995</v>
      </c>
      <c r="M10" s="10"/>
      <c r="N10">
        <v>6209.5</v>
      </c>
      <c r="O10">
        <f>Table13423[[#This Row],[IME Q]]/1000</f>
        <v>6.2095000000000002</v>
      </c>
      <c r="P10" s="4">
        <v>7.1960999999999997E-2</v>
      </c>
      <c r="Q10" s="3">
        <v>20.124611999999999</v>
      </c>
      <c r="R10" s="3">
        <v>7</v>
      </c>
      <c r="S10">
        <v>8.8800000000000008</v>
      </c>
      <c r="T10" s="1">
        <v>3734.4804690000001</v>
      </c>
      <c r="U10" s="1">
        <f>Table13423[[#This Row],[Model Q kg h−1]]-Table13423[[#This Row],[Study Q]]</f>
        <v>734.48046900000008</v>
      </c>
      <c r="V10" s="3">
        <f>Table13423[[#This Row],[Model Q kg h−1]]/1000</f>
        <v>3.7344804690000002</v>
      </c>
      <c r="W10" s="1">
        <f>100/Table13423[[#This Row],[Study Q]]*Table13423[[#This Row],[Model Q kg h−1]]</f>
        <v>124.48268230000001</v>
      </c>
      <c r="X10" t="s">
        <v>19</v>
      </c>
      <c r="Y10" s="1" t="s">
        <v>18</v>
      </c>
      <c r="Z10" s="2">
        <v>0.48041666666666666</v>
      </c>
    </row>
    <row r="11" spans="1:26" ht="21" customHeight="1">
      <c r="A11">
        <v>3</v>
      </c>
      <c r="B11" s="5">
        <v>43889</v>
      </c>
      <c r="C11" s="5">
        <v>43887</v>
      </c>
      <c r="D11" s="8" t="s">
        <v>42</v>
      </c>
      <c r="E11">
        <v>31.756900000000002</v>
      </c>
      <c r="F11">
        <v>5.9421999999999997</v>
      </c>
      <c r="G11">
        <v>2100</v>
      </c>
      <c r="H11">
        <v>1000</v>
      </c>
      <c r="I11">
        <f>100/Table13423[[#This Row],[Study Q]]*Table13423[[#This Row],[Q ± kg h−1]]</f>
        <v>47.619047619047613</v>
      </c>
      <c r="J11">
        <f>Table13423[[#This Row],[Study Q]]/1000</f>
        <v>2.1</v>
      </c>
      <c r="K11" s="10" t="s">
        <v>54</v>
      </c>
      <c r="M11" s="10" t="s">
        <v>55</v>
      </c>
      <c r="P11" s="4">
        <v>6.7851999999999996E-2</v>
      </c>
      <c r="Q11" s="3">
        <v>8.4852810000000005</v>
      </c>
      <c r="R11" s="3">
        <v>6</v>
      </c>
      <c r="S11">
        <v>0.22</v>
      </c>
      <c r="T11" s="1">
        <v>2630.8718260000001</v>
      </c>
      <c r="U11" s="1">
        <f>Table13423[[#This Row],[Model Q kg h−1]]-Table13423[[#This Row],[Study Q]]</f>
        <v>530.87182600000006</v>
      </c>
      <c r="V11" s="3">
        <f>Table13423[[#This Row],[Model Q kg h−1]]/1000</f>
        <v>2.6308718259999999</v>
      </c>
      <c r="W11" s="1">
        <f>100/Table13423[[#This Row],[Study Q]]*Table13423[[#This Row],[Model Q kg h−1]]</f>
        <v>125.27961076190476</v>
      </c>
      <c r="X11" t="s">
        <v>23</v>
      </c>
      <c r="Y11" s="1" t="s">
        <v>13</v>
      </c>
      <c r="Z11" s="2">
        <v>0.4375</v>
      </c>
    </row>
    <row r="12" spans="1:26" ht="21" customHeight="1">
      <c r="A12">
        <v>4</v>
      </c>
      <c r="B12" s="5">
        <v>43889</v>
      </c>
      <c r="C12" s="5">
        <v>43887</v>
      </c>
      <c r="D12" s="8" t="s">
        <v>41</v>
      </c>
      <c r="E12">
        <v>31.734100000000002</v>
      </c>
      <c r="F12">
        <v>5.9676999999999998</v>
      </c>
      <c r="G12">
        <v>2700</v>
      </c>
      <c r="H12">
        <v>1400</v>
      </c>
      <c r="I12">
        <f>100/Table13423[[#This Row],[Study Q]]*Table13423[[#This Row],[Q ± kg h−1]]</f>
        <v>51.851851851851848</v>
      </c>
      <c r="J12">
        <f>Table13423[[#This Row],[Study Q]]/1000</f>
        <v>2.7</v>
      </c>
      <c r="K12">
        <v>2112.3000000000002</v>
      </c>
      <c r="L12">
        <f>Table13423[[#This Row],[CSF Q kg−1]]/1000</f>
        <v>2.1123000000000003</v>
      </c>
      <c r="M12" s="10" t="s">
        <v>51</v>
      </c>
      <c r="N12">
        <v>389.19</v>
      </c>
      <c r="O12">
        <f>Table13423[[#This Row],[IME Q]]/1000</f>
        <v>0.38918999999999998</v>
      </c>
      <c r="P12" s="4">
        <v>0.27582800000000002</v>
      </c>
      <c r="Q12" s="3">
        <v>60.745370000000001</v>
      </c>
      <c r="R12" s="3">
        <v>30</v>
      </c>
      <c r="S12">
        <v>0.22</v>
      </c>
      <c r="T12" s="1">
        <v>3286.6740719999998</v>
      </c>
      <c r="U12" s="1">
        <f>Table13423[[#This Row],[Model Q kg h−1]]-Table13423[[#This Row],[Study Q]]</f>
        <v>586.6740719999998</v>
      </c>
      <c r="V12" s="3">
        <f>Table13423[[#This Row],[Model Q kg h−1]]/1000</f>
        <v>3.2866740719999998</v>
      </c>
      <c r="W12" s="1">
        <f>100/Table13423[[#This Row],[Study Q]]*Table13423[[#This Row],[Model Q kg h−1]]</f>
        <v>121.72866933333331</v>
      </c>
      <c r="X12" t="s">
        <v>23</v>
      </c>
      <c r="Y12" s="1" t="s">
        <v>13</v>
      </c>
      <c r="Z12" s="2">
        <v>0.4375</v>
      </c>
    </row>
    <row r="13" spans="1:26" ht="21" customHeight="1">
      <c r="A13">
        <v>5</v>
      </c>
      <c r="B13" s="5">
        <v>44057</v>
      </c>
      <c r="C13" s="5">
        <v>44049</v>
      </c>
      <c r="D13" s="8" t="s">
        <v>40</v>
      </c>
      <c r="E13">
        <v>31.769200000000001</v>
      </c>
      <c r="F13">
        <v>5.9987000000000004</v>
      </c>
      <c r="G13">
        <v>3400</v>
      </c>
      <c r="H13">
        <v>1700</v>
      </c>
      <c r="I13">
        <f>100/Table13423[[#This Row],[Study Q]]*Table13423[[#This Row],[Q ± kg h−1]]</f>
        <v>50</v>
      </c>
      <c r="J13">
        <f>Table13423[[#This Row],[Study Q]]/1000</f>
        <v>3.4</v>
      </c>
      <c r="K13">
        <v>3599.93</v>
      </c>
      <c r="L13">
        <f>Table13423[[#This Row],[CSF Q kg−1]]/1000</f>
        <v>3.5999299999999996</v>
      </c>
      <c r="M13" s="10" t="s">
        <v>51</v>
      </c>
      <c r="N13">
        <v>3270.14</v>
      </c>
      <c r="O13">
        <f>Table13423[[#This Row],[IME Q]]/1000</f>
        <v>3.27014</v>
      </c>
      <c r="P13" s="4">
        <v>0.100685</v>
      </c>
      <c r="Q13" s="3">
        <v>21.540659000000002</v>
      </c>
      <c r="R13" s="3">
        <v>13</v>
      </c>
      <c r="S13">
        <v>5.13</v>
      </c>
      <c r="T13" s="1">
        <v>3833.443115</v>
      </c>
      <c r="U13" s="1">
        <f>Table13423[[#This Row],[Model Q kg h−1]]-Table13423[[#This Row],[Study Q]]</f>
        <v>433.44311500000003</v>
      </c>
      <c r="V13" s="3">
        <f>Table13423[[#This Row],[Model Q kg h−1]]/1000</f>
        <v>3.8334431150000001</v>
      </c>
      <c r="W13" s="1">
        <f>100/Table13423[[#This Row],[Study Q]]*Table13423[[#This Row],[Model Q kg h−1]]</f>
        <v>112.74832691176471</v>
      </c>
      <c r="X13" t="s">
        <v>23</v>
      </c>
      <c r="Y13" s="1" t="s">
        <v>13</v>
      </c>
      <c r="Z13" s="2">
        <v>0.4375</v>
      </c>
    </row>
    <row r="14" spans="1:26" ht="21" customHeight="1">
      <c r="A14">
        <v>6</v>
      </c>
      <c r="B14" s="5">
        <v>44049</v>
      </c>
      <c r="C14" s="5">
        <v>44044</v>
      </c>
      <c r="D14" s="8" t="s">
        <v>39</v>
      </c>
      <c r="E14">
        <v>31.7776</v>
      </c>
      <c r="F14">
        <v>5.9916999999999998</v>
      </c>
      <c r="G14">
        <v>4800</v>
      </c>
      <c r="H14">
        <v>2400</v>
      </c>
      <c r="I14">
        <f>100/Table13423[[#This Row],[Study Q]]*Table13423[[#This Row],[Q ± kg h−1]]</f>
        <v>50</v>
      </c>
      <c r="J14">
        <f>Table13423[[#This Row],[Study Q]]/1000</f>
        <v>4.8</v>
      </c>
      <c r="K14">
        <v>2781.73</v>
      </c>
      <c r="L14">
        <f>Table13423[[#This Row],[CSF Q kg−1]]/1000</f>
        <v>2.78173</v>
      </c>
      <c r="M14" s="10" t="s">
        <v>51</v>
      </c>
      <c r="N14">
        <v>3969.77</v>
      </c>
      <c r="O14">
        <f>Table13423[[#This Row],[IME Q]]/1000</f>
        <v>3.96977</v>
      </c>
      <c r="P14" s="4">
        <v>7.0314000000000002E-2</v>
      </c>
      <c r="Q14" s="3">
        <v>18.439088999999999</v>
      </c>
      <c r="R14" s="3">
        <v>8</v>
      </c>
      <c r="S14">
        <v>5.66</v>
      </c>
      <c r="T14" s="1">
        <v>4302.6220700000003</v>
      </c>
      <c r="U14" s="1">
        <f>Table13423[[#This Row],[Model Q kg h−1]]-Table13423[[#This Row],[Study Q]]</f>
        <v>-497.37792999999965</v>
      </c>
      <c r="V14" s="3">
        <f>Table13423[[#This Row],[Model Q kg h−1]]/1000</f>
        <v>4.30262207</v>
      </c>
      <c r="W14" s="1">
        <f>100/Table13423[[#This Row],[Study Q]]*Table13423[[#This Row],[Model Q kg h−1]]</f>
        <v>89.637959791666674</v>
      </c>
      <c r="X14" t="s">
        <v>23</v>
      </c>
      <c r="Y14" s="1" t="s">
        <v>13</v>
      </c>
      <c r="Z14" s="2">
        <v>0.4375</v>
      </c>
    </row>
    <row r="15" spans="1:26" ht="21" customHeight="1">
      <c r="A15">
        <v>8</v>
      </c>
      <c r="B15" s="5">
        <v>43844</v>
      </c>
      <c r="C15" s="5">
        <v>43832</v>
      </c>
      <c r="D15" s="8" t="s">
        <v>37</v>
      </c>
      <c r="E15">
        <v>31.757100000000001</v>
      </c>
      <c r="F15">
        <v>6.1684000000000001</v>
      </c>
      <c r="G15">
        <v>3700</v>
      </c>
      <c r="H15">
        <v>1800</v>
      </c>
      <c r="I15">
        <f>100/Table13423[[#This Row],[Study Q]]*Table13423[[#This Row],[Q ± kg h−1]]</f>
        <v>48.648648648648653</v>
      </c>
      <c r="J15">
        <f>Table13423[[#This Row],[Study Q]]/1000</f>
        <v>3.7</v>
      </c>
      <c r="K15">
        <v>3352.56</v>
      </c>
      <c r="L15">
        <f>Table13423[[#This Row],[CSF Q kg−1]]/1000</f>
        <v>3.35256</v>
      </c>
      <c r="M15" s="10" t="s">
        <v>51</v>
      </c>
      <c r="N15">
        <v>2688.63</v>
      </c>
      <c r="O15">
        <f>Table13423[[#This Row],[IME Q]]/1000</f>
        <v>2.6886300000000003</v>
      </c>
      <c r="P15" s="4">
        <v>0.33289000000000002</v>
      </c>
      <c r="Q15" s="3">
        <v>53.460265999999997</v>
      </c>
      <c r="R15" s="3">
        <v>30</v>
      </c>
      <c r="S15">
        <v>1.92</v>
      </c>
      <c r="T15" s="1">
        <v>4265.9804690000001</v>
      </c>
      <c r="U15" s="1">
        <f>Table13423[[#This Row],[Model Q kg h−1]]-Table13423[[#This Row],[Study Q]]</f>
        <v>565.98046900000008</v>
      </c>
      <c r="V15" s="3">
        <f>Table13423[[#This Row],[Model Q kg h−1]]/1000</f>
        <v>4.2659804690000005</v>
      </c>
      <c r="W15" s="1">
        <f>100/Table13423[[#This Row],[Study Q]]*Table13423[[#This Row],[Model Q kg h−1]]</f>
        <v>115.29676943243244</v>
      </c>
      <c r="X15" t="s">
        <v>23</v>
      </c>
      <c r="Y15" s="1" t="s">
        <v>13</v>
      </c>
      <c r="Z15" s="2">
        <v>0.4375</v>
      </c>
    </row>
    <row r="16" spans="1:26" ht="21" customHeight="1">
      <c r="A16">
        <v>9</v>
      </c>
      <c r="B16" s="5">
        <v>44439</v>
      </c>
      <c r="C16" s="5">
        <v>44437</v>
      </c>
      <c r="D16" s="8" t="s">
        <v>28</v>
      </c>
      <c r="E16">
        <v>31.8066</v>
      </c>
      <c r="F16">
        <v>6.1544999999999996</v>
      </c>
      <c r="G16" s="1">
        <v>5453</v>
      </c>
      <c r="H16">
        <v>2200</v>
      </c>
      <c r="I16">
        <f>100/Table13423[[#This Row],[Study Q]]*Table13423[[#This Row],[Q ± kg h−1]]</f>
        <v>40.344764349899137</v>
      </c>
      <c r="J16">
        <f>Table13423[[#This Row],[Study Q]]/1000</f>
        <v>5.4530000000000003</v>
      </c>
      <c r="K16">
        <v>4906.55</v>
      </c>
      <c r="L16">
        <f>Table13423[[#This Row],[CSF Q kg−1]]/1000</f>
        <v>4.9065500000000002</v>
      </c>
      <c r="M16" s="10" t="s">
        <v>51</v>
      </c>
      <c r="N16">
        <v>5384.88</v>
      </c>
      <c r="O16">
        <f>Table13423[[#This Row],[IME Q]]/1000</f>
        <v>5.3848799999999999</v>
      </c>
      <c r="P16" s="4">
        <v>6.6746E-2</v>
      </c>
      <c r="Q16" s="3">
        <v>16.124514999999999</v>
      </c>
      <c r="R16" s="3">
        <v>7</v>
      </c>
      <c r="S16">
        <v>4.45</v>
      </c>
      <c r="T16" s="1">
        <v>4606.2158200000003</v>
      </c>
      <c r="U16" s="1">
        <f>Table13423[[#This Row],[Model Q kg h−1]]-Table13423[[#This Row],[Study Q]]</f>
        <v>-846.78417999999965</v>
      </c>
      <c r="V16" s="3">
        <f>Table13423[[#This Row],[Model Q kg h−1]]/1000</f>
        <v>4.6062158200000001</v>
      </c>
      <c r="W16" s="1">
        <f>100/Table13423[[#This Row],[Study Q]]*Table13423[[#This Row],[Model Q kg h−1]]</f>
        <v>84.471223546671567</v>
      </c>
      <c r="X16" t="s">
        <v>3</v>
      </c>
      <c r="Y16" s="1" t="s">
        <v>13</v>
      </c>
      <c r="Z16" s="2">
        <v>0.4375</v>
      </c>
    </row>
    <row r="17" spans="1:26" ht="21" customHeight="1">
      <c r="A17">
        <v>10</v>
      </c>
      <c r="B17" s="5">
        <v>43834</v>
      </c>
      <c r="C17" s="5">
        <v>43832</v>
      </c>
      <c r="D17" s="9" t="s">
        <v>29</v>
      </c>
      <c r="E17">
        <v>31.864699999999999</v>
      </c>
      <c r="F17">
        <v>6.1736000000000004</v>
      </c>
      <c r="G17">
        <v>21000</v>
      </c>
      <c r="H17">
        <v>6000</v>
      </c>
      <c r="I17">
        <f>100/Table13423[[#This Row],[Study Q]]*Table13423[[#This Row],[Q ± kg h−1]]</f>
        <v>28.571428571428573</v>
      </c>
      <c r="J17">
        <f>Table13423[[#This Row],[Study Q]]/1000</f>
        <v>21</v>
      </c>
      <c r="K17">
        <v>19446.43</v>
      </c>
      <c r="L17">
        <f>Table13423[[#This Row],[CSF Q kg−1]]/1000</f>
        <v>19.446429999999999</v>
      </c>
      <c r="M17" s="10" t="s">
        <v>51</v>
      </c>
      <c r="N17">
        <v>18800.22</v>
      </c>
      <c r="O17">
        <f>Table13423[[#This Row],[IME Q]]/1000</f>
        <v>18.800219999999999</v>
      </c>
      <c r="P17" s="4">
        <v>0.57429699999999995</v>
      </c>
      <c r="Q17" s="3">
        <v>294.54371500000002</v>
      </c>
      <c r="R17" s="3">
        <v>47</v>
      </c>
      <c r="S17">
        <v>3.65</v>
      </c>
      <c r="T17" s="1">
        <v>15074.407227</v>
      </c>
      <c r="U17" s="1">
        <f>Table13423[[#This Row],[Model Q kg h−1]]-Table13423[[#This Row],[Study Q]]</f>
        <v>-5925.5927730000003</v>
      </c>
      <c r="V17" s="3">
        <f>Table13423[[#This Row],[Model Q kg h−1]]/1000</f>
        <v>15.074407227</v>
      </c>
      <c r="W17" s="1">
        <f>100/Table13423[[#This Row],[Study Q]]*Table13423[[#This Row],[Model Q kg h−1]]</f>
        <v>71.782891557142861</v>
      </c>
      <c r="X17" t="s">
        <v>4</v>
      </c>
      <c r="Y17" s="1" t="s">
        <v>13</v>
      </c>
      <c r="Z17" s="2">
        <v>0.4375</v>
      </c>
    </row>
    <row r="21" spans="1:26">
      <c r="Q21" s="7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73113-BB9E-42AB-91B4-21E5DEE28100}">
  <dimension ref="A1:D31"/>
  <sheetViews>
    <sheetView tabSelected="1" topLeftCell="A6" zoomScale="85" zoomScaleNormal="85" workbookViewId="0">
      <selection activeCell="N15" sqref="N15"/>
    </sheetView>
  </sheetViews>
  <sheetFormatPr defaultRowHeight="14.25"/>
  <cols>
    <col min="5" max="5" width="8.75" customWidth="1"/>
  </cols>
  <sheetData>
    <row r="1" spans="1:4">
      <c r="A1" s="12" t="s">
        <v>71</v>
      </c>
      <c r="B1" s="12" t="s">
        <v>72</v>
      </c>
      <c r="C1" s="12" t="s">
        <v>70</v>
      </c>
      <c r="D1" s="12" t="s">
        <v>73</v>
      </c>
    </row>
    <row r="2" spans="1:4">
      <c r="A2">
        <v>1968</v>
      </c>
      <c r="B2">
        <f>A2/1000</f>
        <v>1.968</v>
      </c>
      <c r="C2">
        <v>3048.99</v>
      </c>
      <c r="D2">
        <f>C2/1000</f>
        <v>3.0489899999999999</v>
      </c>
    </row>
    <row r="3" spans="1:4">
      <c r="A3">
        <v>6472</v>
      </c>
      <c r="B3">
        <f t="shared" ref="B3:B31" si="0">A3/1000</f>
        <v>6.4720000000000004</v>
      </c>
      <c r="C3">
        <v>4519.88</v>
      </c>
      <c r="D3">
        <f t="shared" ref="D3:D31" si="1">C3/1000</f>
        <v>4.5198799999999997</v>
      </c>
    </row>
    <row r="4" spans="1:4">
      <c r="A4">
        <v>5123</v>
      </c>
      <c r="B4">
        <f t="shared" si="0"/>
        <v>5.1230000000000002</v>
      </c>
      <c r="C4">
        <v>3646.01</v>
      </c>
      <c r="D4">
        <f t="shared" si="1"/>
        <v>3.6460100000000004</v>
      </c>
    </row>
    <row r="5" spans="1:4">
      <c r="A5">
        <v>3606</v>
      </c>
      <c r="B5">
        <f t="shared" si="0"/>
        <v>3.6059999999999999</v>
      </c>
      <c r="C5">
        <v>3296.39</v>
      </c>
      <c r="D5">
        <f t="shared" si="1"/>
        <v>3.2963899999999997</v>
      </c>
    </row>
    <row r="6" spans="1:4">
      <c r="A6">
        <v>2298</v>
      </c>
      <c r="B6">
        <f t="shared" si="0"/>
        <v>2.298</v>
      </c>
      <c r="C6">
        <v>2689.51</v>
      </c>
      <c r="D6">
        <f t="shared" si="1"/>
        <v>2.6895100000000003</v>
      </c>
    </row>
    <row r="7" spans="1:4">
      <c r="A7">
        <v>7380</v>
      </c>
      <c r="B7">
        <f t="shared" si="0"/>
        <v>7.38</v>
      </c>
      <c r="C7">
        <v>6241.35</v>
      </c>
      <c r="D7">
        <f t="shared" si="1"/>
        <v>6.2413500000000006</v>
      </c>
    </row>
    <row r="8" spans="1:4">
      <c r="A8">
        <v>7953</v>
      </c>
      <c r="B8">
        <f t="shared" si="0"/>
        <v>7.9530000000000003</v>
      </c>
      <c r="C8">
        <v>6174.08</v>
      </c>
      <c r="D8">
        <f t="shared" si="1"/>
        <v>6.17408</v>
      </c>
    </row>
    <row r="9" spans="1:4">
      <c r="A9">
        <v>3097</v>
      </c>
      <c r="B9">
        <f t="shared" si="0"/>
        <v>3.097</v>
      </c>
      <c r="C9">
        <v>3521.05</v>
      </c>
      <c r="D9">
        <f t="shared" si="1"/>
        <v>3.5210500000000002</v>
      </c>
    </row>
    <row r="10" spans="1:4">
      <c r="A10">
        <v>10003</v>
      </c>
      <c r="B10">
        <f t="shared" si="0"/>
        <v>10.003</v>
      </c>
      <c r="C10">
        <v>8071.7</v>
      </c>
      <c r="D10">
        <f t="shared" si="1"/>
        <v>8.0716999999999999</v>
      </c>
    </row>
    <row r="11" spans="1:4">
      <c r="A11">
        <v>3214</v>
      </c>
      <c r="B11">
        <f t="shared" si="0"/>
        <v>3.214</v>
      </c>
      <c r="C11">
        <v>3102.44</v>
      </c>
      <c r="D11">
        <f t="shared" si="1"/>
        <v>3.1024400000000001</v>
      </c>
    </row>
    <row r="12" spans="1:4">
      <c r="A12">
        <v>9760</v>
      </c>
      <c r="B12">
        <f t="shared" si="0"/>
        <v>9.76</v>
      </c>
      <c r="C12">
        <v>7822.07</v>
      </c>
      <c r="D12">
        <f t="shared" si="1"/>
        <v>7.8220700000000001</v>
      </c>
    </row>
    <row r="13" spans="1:4">
      <c r="A13">
        <v>5750</v>
      </c>
      <c r="B13">
        <f t="shared" si="0"/>
        <v>5.75</v>
      </c>
      <c r="C13">
        <v>4357.63</v>
      </c>
      <c r="D13">
        <f t="shared" si="1"/>
        <v>4.3576300000000003</v>
      </c>
    </row>
    <row r="14" spans="1:4">
      <c r="A14">
        <v>12367</v>
      </c>
      <c r="B14">
        <f t="shared" si="0"/>
        <v>12.367000000000001</v>
      </c>
      <c r="C14">
        <v>8905.31</v>
      </c>
      <c r="D14">
        <f t="shared" si="1"/>
        <v>8.9053100000000001</v>
      </c>
    </row>
    <row r="15" spans="1:4">
      <c r="A15">
        <v>3963</v>
      </c>
      <c r="B15">
        <f t="shared" si="0"/>
        <v>3.9630000000000001</v>
      </c>
      <c r="C15">
        <v>3741.87</v>
      </c>
      <c r="D15">
        <f t="shared" si="1"/>
        <v>3.74187</v>
      </c>
    </row>
    <row r="16" spans="1:4">
      <c r="A16">
        <v>3250</v>
      </c>
      <c r="B16">
        <f t="shared" si="0"/>
        <v>3.25</v>
      </c>
      <c r="C16">
        <v>2273.85</v>
      </c>
      <c r="D16">
        <f t="shared" si="1"/>
        <v>2.2738499999999999</v>
      </c>
    </row>
    <row r="17" spans="1:4">
      <c r="A17">
        <v>2030</v>
      </c>
      <c r="B17">
        <f t="shared" si="0"/>
        <v>2.0299999999999998</v>
      </c>
      <c r="C17">
        <v>3002.66</v>
      </c>
      <c r="D17">
        <f t="shared" si="1"/>
        <v>3.0026599999999997</v>
      </c>
    </row>
    <row r="18" spans="1:4">
      <c r="A18">
        <v>1118</v>
      </c>
      <c r="B18">
        <f t="shared" si="0"/>
        <v>1.1180000000000001</v>
      </c>
      <c r="C18">
        <v>2004.24</v>
      </c>
      <c r="D18">
        <f t="shared" si="1"/>
        <v>2.0042399999999998</v>
      </c>
    </row>
    <row r="19" spans="1:4">
      <c r="A19">
        <v>6460</v>
      </c>
      <c r="B19">
        <f t="shared" si="0"/>
        <v>6.46</v>
      </c>
      <c r="C19">
        <v>6261.01</v>
      </c>
      <c r="D19">
        <f t="shared" si="1"/>
        <v>6.2610100000000006</v>
      </c>
    </row>
    <row r="20" spans="1:4">
      <c r="A20">
        <v>3359</v>
      </c>
      <c r="B20">
        <f t="shared" si="0"/>
        <v>3.359</v>
      </c>
      <c r="C20">
        <v>4001.14</v>
      </c>
      <c r="D20">
        <f t="shared" si="1"/>
        <v>4.0011399999999995</v>
      </c>
    </row>
    <row r="21" spans="1:4">
      <c r="A21">
        <v>7484</v>
      </c>
      <c r="B21">
        <f t="shared" si="0"/>
        <v>7.484</v>
      </c>
      <c r="C21">
        <v>8554.9699999999993</v>
      </c>
      <c r="D21">
        <f t="shared" si="1"/>
        <v>8.5549699999999991</v>
      </c>
    </row>
    <row r="22" spans="1:4">
      <c r="A22">
        <v>4620</v>
      </c>
      <c r="B22">
        <f t="shared" si="0"/>
        <v>4.62</v>
      </c>
      <c r="C22">
        <v>6084.74</v>
      </c>
      <c r="D22">
        <f t="shared" si="1"/>
        <v>6.08474</v>
      </c>
    </row>
    <row r="23" spans="1:4">
      <c r="A23">
        <v>11992</v>
      </c>
      <c r="B23">
        <f t="shared" si="0"/>
        <v>11.992000000000001</v>
      </c>
      <c r="C23">
        <v>10133.549999999999</v>
      </c>
      <c r="D23">
        <f t="shared" si="1"/>
        <v>10.13355</v>
      </c>
    </row>
    <row r="24" spans="1:4">
      <c r="A24">
        <v>5705</v>
      </c>
      <c r="B24">
        <f t="shared" si="0"/>
        <v>5.7050000000000001</v>
      </c>
      <c r="C24">
        <v>5109.0200000000004</v>
      </c>
      <c r="D24">
        <f t="shared" si="1"/>
        <v>5.1090200000000001</v>
      </c>
    </row>
    <row r="25" spans="1:4">
      <c r="A25">
        <v>4915</v>
      </c>
      <c r="B25">
        <f t="shared" si="0"/>
        <v>4.915</v>
      </c>
      <c r="C25">
        <v>6295.48</v>
      </c>
      <c r="D25">
        <f t="shared" si="1"/>
        <v>6.2954799999999995</v>
      </c>
    </row>
    <row r="26" spans="1:4">
      <c r="A26">
        <v>1944</v>
      </c>
      <c r="B26">
        <f t="shared" si="0"/>
        <v>1.944</v>
      </c>
      <c r="C26">
        <v>2123.4899999999998</v>
      </c>
      <c r="D26">
        <f t="shared" si="1"/>
        <v>2.1234899999999999</v>
      </c>
    </row>
    <row r="27" spans="1:4">
      <c r="A27">
        <v>9914</v>
      </c>
      <c r="B27">
        <f t="shared" si="0"/>
        <v>9.9139999999999997</v>
      </c>
      <c r="C27">
        <v>7799.91</v>
      </c>
      <c r="D27">
        <f t="shared" si="1"/>
        <v>7.7999099999999997</v>
      </c>
    </row>
    <row r="28" spans="1:4">
      <c r="A28">
        <v>3858</v>
      </c>
      <c r="B28">
        <f t="shared" si="0"/>
        <v>3.8580000000000001</v>
      </c>
      <c r="C28">
        <v>4157.5</v>
      </c>
      <c r="D28">
        <f t="shared" si="1"/>
        <v>4.1574999999999998</v>
      </c>
    </row>
    <row r="29" spans="1:4">
      <c r="A29">
        <v>9631</v>
      </c>
      <c r="B29">
        <f t="shared" si="0"/>
        <v>9.6310000000000002</v>
      </c>
      <c r="C29">
        <v>9754.9</v>
      </c>
      <c r="D29">
        <f t="shared" si="1"/>
        <v>9.7548999999999992</v>
      </c>
    </row>
    <row r="30" spans="1:4">
      <c r="A30">
        <v>2975</v>
      </c>
      <c r="B30">
        <f t="shared" si="0"/>
        <v>2.9750000000000001</v>
      </c>
      <c r="C30">
        <v>4101.01</v>
      </c>
      <c r="D30">
        <f t="shared" si="1"/>
        <v>4.1010100000000005</v>
      </c>
    </row>
    <row r="31" spans="1:4">
      <c r="A31">
        <v>6637</v>
      </c>
      <c r="B31">
        <f t="shared" si="0"/>
        <v>6.6369999999999996</v>
      </c>
      <c r="C31">
        <v>8008.47</v>
      </c>
      <c r="D31">
        <f t="shared" si="1"/>
        <v>8.0084700000000009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9044E-A1C0-41D1-A275-514B5A2368CC}">
  <dimension ref="A1:R101"/>
  <sheetViews>
    <sheetView topLeftCell="A94" zoomScale="85" zoomScaleNormal="85" workbookViewId="0">
      <selection activeCell="A78" sqref="A78:XFD78"/>
    </sheetView>
  </sheetViews>
  <sheetFormatPr defaultRowHeight="14.25"/>
  <cols>
    <col min="1" max="1" width="8" customWidth="1"/>
    <col min="2" max="2" width="12.125" customWidth="1"/>
    <col min="3" max="3" width="11.125" customWidth="1"/>
    <col min="4" max="4" width="7.875" bestFit="1" customWidth="1"/>
    <col min="5" max="5" width="7.375" bestFit="1" customWidth="1"/>
    <col min="6" max="6" width="7.75" customWidth="1"/>
    <col min="7" max="7" width="8.75" bestFit="1" customWidth="1"/>
    <col min="8" max="8" width="9.625" hidden="1" customWidth="1"/>
    <col min="9" max="9" width="9.5" customWidth="1"/>
    <col min="10" max="10" width="6.25" bestFit="1" customWidth="1"/>
    <col min="11" max="11" width="10.75" bestFit="1" customWidth="1"/>
    <col min="12" max="12" width="7.625" customWidth="1"/>
    <col min="13" max="13" width="10.875" customWidth="1"/>
    <col min="14" max="14" width="9.25" customWidth="1"/>
    <col min="15" max="15" width="15.375" customWidth="1"/>
    <col min="16" max="16" width="14.875" customWidth="1"/>
    <col min="17" max="17" width="10.75" customWidth="1"/>
    <col min="18" max="18" width="7.25" customWidth="1"/>
  </cols>
  <sheetData>
    <row r="1" spans="1:18">
      <c r="A1" t="s">
        <v>0</v>
      </c>
      <c r="B1" t="s">
        <v>21</v>
      </c>
      <c r="C1" t="s">
        <v>22</v>
      </c>
      <c r="D1" t="s">
        <v>1</v>
      </c>
      <c r="E1" t="s">
        <v>2</v>
      </c>
      <c r="F1" t="s">
        <v>49</v>
      </c>
      <c r="G1" t="s">
        <v>65</v>
      </c>
      <c r="H1" t="s">
        <v>57</v>
      </c>
      <c r="I1" t="s">
        <v>58</v>
      </c>
      <c r="J1" t="s">
        <v>61</v>
      </c>
      <c r="K1" t="s">
        <v>59</v>
      </c>
      <c r="L1" t="s">
        <v>60</v>
      </c>
      <c r="M1" t="s">
        <v>67</v>
      </c>
      <c r="N1" t="s">
        <v>62</v>
      </c>
      <c r="O1" t="s">
        <v>7</v>
      </c>
      <c r="P1" t="s">
        <v>46</v>
      </c>
      <c r="Q1" t="s">
        <v>20</v>
      </c>
      <c r="R1" t="s">
        <v>25</v>
      </c>
    </row>
    <row r="2" spans="1:18">
      <c r="A2">
        <v>1</v>
      </c>
      <c r="B2" s="5">
        <v>43747</v>
      </c>
      <c r="C2" s="5">
        <v>43742</v>
      </c>
      <c r="D2">
        <v>31.6586</v>
      </c>
      <c r="E2">
        <v>5.9055</v>
      </c>
      <c r="F2" s="1">
        <v>5234.8500000000004</v>
      </c>
      <c r="G2" s="1">
        <v>3423.28</v>
      </c>
      <c r="H2" s="11">
        <f t="shared" ref="H2:H26" si="0">G2/1000</f>
        <v>3.4232800000000001</v>
      </c>
      <c r="I2">
        <v>40.240383148193303</v>
      </c>
      <c r="J2" s="1">
        <v>13</v>
      </c>
      <c r="K2" s="4">
        <v>5.4491999999999999E-2</v>
      </c>
      <c r="L2" s="3">
        <v>52.773099000000002</v>
      </c>
      <c r="M2">
        <v>5.4023120000000002</v>
      </c>
      <c r="N2">
        <v>3.35</v>
      </c>
      <c r="O2" s="1"/>
      <c r="P2" s="3"/>
      <c r="Q2" s="1"/>
      <c r="R2" s="1"/>
    </row>
    <row r="3" spans="1:18">
      <c r="A3">
        <v>2</v>
      </c>
      <c r="B3" s="5">
        <v>43749</v>
      </c>
      <c r="C3" s="5">
        <v>43742</v>
      </c>
      <c r="D3">
        <v>31.6586</v>
      </c>
      <c r="E3">
        <v>5.9055</v>
      </c>
      <c r="F3" s="1">
        <v>7319.89</v>
      </c>
      <c r="G3" s="1">
        <v>14801.68</v>
      </c>
      <c r="H3" s="11">
        <f t="shared" si="0"/>
        <v>14.801680000000001</v>
      </c>
      <c r="I3">
        <v>41.699832916259702</v>
      </c>
      <c r="J3" s="1">
        <v>19</v>
      </c>
      <c r="K3" s="4">
        <v>0.17235800000000001</v>
      </c>
      <c r="L3" s="3">
        <v>83.216584999999995</v>
      </c>
      <c r="M3">
        <v>7.6398000000000001</v>
      </c>
      <c r="N3">
        <v>5.18</v>
      </c>
      <c r="O3" s="1"/>
      <c r="P3" s="3"/>
      <c r="Q3" s="1"/>
      <c r="R3" s="1"/>
    </row>
    <row r="4" spans="1:18">
      <c r="A4">
        <v>3</v>
      </c>
      <c r="B4" s="5">
        <v>43752</v>
      </c>
      <c r="C4" s="5">
        <v>43742</v>
      </c>
      <c r="D4">
        <v>31.6586</v>
      </c>
      <c r="E4">
        <v>5.9055</v>
      </c>
      <c r="F4" s="1">
        <v>8746.42</v>
      </c>
      <c r="G4" s="1">
        <v>4475.0600000000004</v>
      </c>
      <c r="H4" s="11">
        <f t="shared" si="0"/>
        <v>4.47506</v>
      </c>
      <c r="I4">
        <v>41.946285247802699</v>
      </c>
      <c r="J4" s="1">
        <v>23</v>
      </c>
      <c r="K4" s="4">
        <v>0.155198</v>
      </c>
      <c r="L4" s="3">
        <v>92.195445000000007</v>
      </c>
      <c r="M4">
        <v>21.002220000000001</v>
      </c>
      <c r="N4">
        <v>2.2599999999999998</v>
      </c>
      <c r="O4" s="1"/>
      <c r="P4" s="3"/>
      <c r="Q4" s="1"/>
      <c r="R4" s="1"/>
    </row>
    <row r="5" spans="1:18">
      <c r="A5">
        <v>4</v>
      </c>
      <c r="B5" s="5">
        <v>43754</v>
      </c>
      <c r="C5" s="5">
        <v>43742</v>
      </c>
      <c r="D5">
        <v>31.6586</v>
      </c>
      <c r="E5">
        <v>5.9055</v>
      </c>
      <c r="F5" s="1">
        <v>5395.46</v>
      </c>
      <c r="G5" s="1">
        <v>7591.22</v>
      </c>
      <c r="H5" s="11">
        <f t="shared" si="0"/>
        <v>7.5912199999999999</v>
      </c>
      <c r="I5">
        <v>43.361606597900298</v>
      </c>
      <c r="J5" s="1">
        <v>19</v>
      </c>
      <c r="K5" s="4">
        <v>0.15259300000000001</v>
      </c>
      <c r="L5" s="3">
        <v>69.260378000000003</v>
      </c>
      <c r="M5">
        <v>5.6764250000000001</v>
      </c>
      <c r="N5">
        <v>4.79</v>
      </c>
      <c r="O5" s="1"/>
      <c r="P5" s="3"/>
      <c r="Q5" s="1"/>
      <c r="R5" s="1"/>
    </row>
    <row r="6" spans="1:18">
      <c r="A6">
        <v>5</v>
      </c>
      <c r="B6" s="5">
        <v>43757</v>
      </c>
      <c r="C6" s="5">
        <v>43742</v>
      </c>
      <c r="D6">
        <v>31.6586</v>
      </c>
      <c r="E6">
        <v>5.9055</v>
      </c>
      <c r="F6" s="1">
        <v>3096.56</v>
      </c>
      <c r="G6" s="1">
        <v>7544.36</v>
      </c>
      <c r="H6" s="11">
        <f t="shared" si="0"/>
        <v>7.5443599999999993</v>
      </c>
      <c r="I6">
        <v>43.640438079833899</v>
      </c>
      <c r="J6" s="1">
        <v>32</v>
      </c>
      <c r="K6" s="4">
        <v>0.14540500000000001</v>
      </c>
      <c r="L6" s="3">
        <v>142.63589999999999</v>
      </c>
      <c r="M6">
        <v>13.598058999999999</v>
      </c>
      <c r="N6">
        <v>2.58</v>
      </c>
      <c r="O6" s="1"/>
      <c r="P6" s="3"/>
      <c r="Q6" s="1"/>
      <c r="R6" s="1"/>
    </row>
    <row r="7" spans="1:18">
      <c r="A7">
        <v>6</v>
      </c>
      <c r="B7" s="5">
        <v>43759</v>
      </c>
      <c r="C7" s="5">
        <v>43742</v>
      </c>
      <c r="D7">
        <v>31.6586</v>
      </c>
      <c r="E7">
        <v>5.9055</v>
      </c>
      <c r="F7" s="1">
        <v>9914.01</v>
      </c>
      <c r="G7" s="1">
        <v>7658.66</v>
      </c>
      <c r="H7" s="11">
        <f t="shared" si="0"/>
        <v>7.6586600000000002</v>
      </c>
      <c r="I7">
        <v>45.003078460693303</v>
      </c>
      <c r="J7" s="1">
        <v>22</v>
      </c>
      <c r="K7" s="4">
        <v>0.315438</v>
      </c>
      <c r="L7" s="3">
        <v>51.623638</v>
      </c>
      <c r="M7">
        <v>14.208742000000001</v>
      </c>
      <c r="N7">
        <v>1.78</v>
      </c>
      <c r="O7" s="1"/>
      <c r="P7" s="3"/>
      <c r="Q7" s="1"/>
      <c r="R7" s="1"/>
    </row>
    <row r="8" spans="1:18">
      <c r="A8">
        <v>7</v>
      </c>
      <c r="B8" s="5">
        <v>43762</v>
      </c>
      <c r="C8" s="5">
        <v>43742</v>
      </c>
      <c r="D8">
        <v>31.6586</v>
      </c>
      <c r="E8">
        <v>5.9055</v>
      </c>
      <c r="F8" s="1">
        <v>13772.66</v>
      </c>
      <c r="G8" s="1">
        <v>17842.55</v>
      </c>
      <c r="H8" s="11">
        <f t="shared" si="0"/>
        <v>17.842549999999999</v>
      </c>
      <c r="I8" s="6">
        <v>45.300113677978501</v>
      </c>
      <c r="J8" s="1">
        <v>18</v>
      </c>
      <c r="K8" s="4">
        <v>0.16147300000000001</v>
      </c>
      <c r="L8" s="3">
        <v>92.698436000000001</v>
      </c>
      <c r="M8">
        <v>11.850987999999999</v>
      </c>
      <c r="N8">
        <v>6.28</v>
      </c>
      <c r="O8" s="1"/>
      <c r="P8" s="3"/>
      <c r="Q8" s="1"/>
      <c r="R8" s="1"/>
    </row>
    <row r="9" spans="1:18">
      <c r="A9">
        <v>8</v>
      </c>
      <c r="B9" s="5">
        <v>43764</v>
      </c>
      <c r="C9" s="5">
        <v>43742</v>
      </c>
      <c r="D9">
        <v>31.6586</v>
      </c>
      <c r="E9">
        <v>5.9055</v>
      </c>
      <c r="F9" s="1">
        <v>12755.87</v>
      </c>
      <c r="G9" s="1">
        <v>10187.469999999999</v>
      </c>
      <c r="H9" s="11">
        <f t="shared" si="0"/>
        <v>10.187469999999999</v>
      </c>
      <c r="I9">
        <v>46.619873046875</v>
      </c>
      <c r="J9" s="1">
        <v>19</v>
      </c>
      <c r="K9" s="4">
        <v>0.31008400000000003</v>
      </c>
      <c r="L9" s="3">
        <v>36.796739000000002</v>
      </c>
      <c r="M9">
        <v>9.9254719999999992</v>
      </c>
      <c r="N9">
        <v>2.59</v>
      </c>
      <c r="O9" s="1"/>
      <c r="P9" s="3"/>
      <c r="Q9" s="1"/>
      <c r="R9" s="1"/>
    </row>
    <row r="10" spans="1:18">
      <c r="A10">
        <v>9</v>
      </c>
      <c r="B10" s="5">
        <v>43767</v>
      </c>
      <c r="C10" s="5">
        <v>43742</v>
      </c>
      <c r="D10">
        <v>31.6586</v>
      </c>
      <c r="E10">
        <v>5.9055</v>
      </c>
      <c r="F10" s="1">
        <v>7912.11</v>
      </c>
      <c r="G10" s="1">
        <v>12376.94</v>
      </c>
      <c r="H10" s="11">
        <f t="shared" si="0"/>
        <v>12.376940000000001</v>
      </c>
      <c r="I10">
        <v>46.918834686279297</v>
      </c>
      <c r="J10" s="1">
        <v>22</v>
      </c>
      <c r="K10" s="4">
        <v>0.34504499999999999</v>
      </c>
      <c r="L10" s="3">
        <v>33.734256000000002</v>
      </c>
      <c r="M10">
        <v>6.9462900000000003</v>
      </c>
      <c r="N10">
        <v>2.8</v>
      </c>
      <c r="O10" s="1"/>
      <c r="P10" s="3"/>
      <c r="Q10" s="1"/>
      <c r="R10" s="1"/>
    </row>
    <row r="11" spans="1:18">
      <c r="A11">
        <v>10</v>
      </c>
      <c r="B11" s="5">
        <v>43769</v>
      </c>
      <c r="C11" s="5">
        <v>43742</v>
      </c>
      <c r="D11">
        <v>31.6586</v>
      </c>
      <c r="E11">
        <v>5.9055</v>
      </c>
      <c r="F11" s="1">
        <v>6471.74</v>
      </c>
      <c r="G11" s="1">
        <v>7726.54</v>
      </c>
      <c r="H11" s="11">
        <f t="shared" si="0"/>
        <v>7.72654</v>
      </c>
      <c r="I11">
        <v>48.185054779052699</v>
      </c>
      <c r="J11" s="1">
        <v>33</v>
      </c>
      <c r="K11" s="4">
        <v>0.28151900000000002</v>
      </c>
      <c r="L11" s="3">
        <v>114.48144000000001</v>
      </c>
      <c r="M11">
        <v>26.164390999999998</v>
      </c>
      <c r="N11">
        <v>1.72</v>
      </c>
      <c r="O11" s="1"/>
      <c r="P11" s="3"/>
      <c r="Q11" s="1"/>
      <c r="R11" s="1"/>
    </row>
    <row r="12" spans="1:18">
      <c r="A12">
        <v>11</v>
      </c>
      <c r="B12" s="5">
        <v>43774</v>
      </c>
      <c r="C12" s="5">
        <v>43742</v>
      </c>
      <c r="D12">
        <v>31.6586</v>
      </c>
      <c r="E12">
        <v>5.9055</v>
      </c>
      <c r="F12" s="1">
        <v>4332.1099999999997</v>
      </c>
      <c r="G12" s="1">
        <v>4066.1</v>
      </c>
      <c r="H12" s="11">
        <f t="shared" si="0"/>
        <v>4.0660999999999996</v>
      </c>
      <c r="I12">
        <v>49.693424224853501</v>
      </c>
      <c r="J12" s="1">
        <v>19</v>
      </c>
      <c r="K12" s="4">
        <v>0.124158</v>
      </c>
      <c r="L12" s="3">
        <v>70.007142000000002</v>
      </c>
      <c r="M12">
        <v>5.1037730000000003</v>
      </c>
      <c r="N12">
        <v>3.77</v>
      </c>
      <c r="O12" s="1"/>
      <c r="P12" s="3"/>
      <c r="Q12" s="1"/>
      <c r="R12" s="1"/>
    </row>
    <row r="13" spans="1:18">
      <c r="A13">
        <v>12</v>
      </c>
      <c r="B13" s="5">
        <v>43782</v>
      </c>
      <c r="C13" s="5">
        <v>43742</v>
      </c>
      <c r="D13">
        <v>31.6586</v>
      </c>
      <c r="E13">
        <v>5.9055</v>
      </c>
      <c r="F13" s="1">
        <v>3249.87</v>
      </c>
      <c r="G13" s="1">
        <v>3354.47</v>
      </c>
      <c r="H13" s="11">
        <f t="shared" si="0"/>
        <v>3.3544699999999996</v>
      </c>
      <c r="I13">
        <v>51.329837799072202</v>
      </c>
      <c r="J13" s="1">
        <v>13</v>
      </c>
      <c r="K13" s="4">
        <v>6.4098000000000002E-2</v>
      </c>
      <c r="L13" s="3">
        <v>105.80170099999999</v>
      </c>
      <c r="M13">
        <v>5.4271890000000003</v>
      </c>
      <c r="N13">
        <v>2.91</v>
      </c>
      <c r="O13" s="1"/>
      <c r="P13" s="3"/>
      <c r="Q13" s="1"/>
      <c r="R13" s="1"/>
    </row>
    <row r="14" spans="1:18">
      <c r="A14">
        <v>13</v>
      </c>
      <c r="B14" s="5">
        <v>43787</v>
      </c>
      <c r="C14" s="5">
        <v>43742</v>
      </c>
      <c r="D14">
        <v>31.6586</v>
      </c>
      <c r="E14">
        <v>5.9055</v>
      </c>
      <c r="F14" s="1">
        <v>2671.78</v>
      </c>
      <c r="G14" s="1">
        <v>1924.62</v>
      </c>
      <c r="H14" s="11">
        <f t="shared" si="0"/>
        <v>1.92462</v>
      </c>
      <c r="I14">
        <v>52.609443664550703</v>
      </c>
      <c r="J14" s="1">
        <v>19</v>
      </c>
      <c r="K14" s="4">
        <v>4.7099000000000002E-2</v>
      </c>
      <c r="L14" s="3">
        <v>119.54078800000001</v>
      </c>
      <c r="M14">
        <v>10.994935999999999</v>
      </c>
      <c r="N14">
        <v>2.42</v>
      </c>
      <c r="O14" s="1"/>
      <c r="P14" s="3"/>
      <c r="Q14" s="1"/>
      <c r="R14" s="1"/>
    </row>
    <row r="15" spans="1:18">
      <c r="A15">
        <v>14</v>
      </c>
      <c r="B15" s="5">
        <v>43789</v>
      </c>
      <c r="C15" s="5">
        <v>43742</v>
      </c>
      <c r="D15">
        <v>31.6586</v>
      </c>
      <c r="E15">
        <v>5.9055</v>
      </c>
      <c r="F15" s="1">
        <v>3939.17</v>
      </c>
      <c r="G15" s="1">
        <v>4239.4399999999996</v>
      </c>
      <c r="H15" s="11">
        <f t="shared" si="0"/>
        <v>4.2394399999999992</v>
      </c>
      <c r="I15">
        <v>53.677547454833899</v>
      </c>
      <c r="J15" s="1">
        <v>43</v>
      </c>
      <c r="K15" s="4">
        <v>0.42939500000000003</v>
      </c>
      <c r="L15" s="3">
        <v>167.28717800000001</v>
      </c>
      <c r="M15">
        <v>53.216301000000001</v>
      </c>
      <c r="N15">
        <v>0.82</v>
      </c>
      <c r="O15" s="1"/>
      <c r="P15" s="3"/>
      <c r="Q15" s="1"/>
      <c r="R15" s="1"/>
    </row>
    <row r="16" spans="1:18">
      <c r="A16">
        <v>15</v>
      </c>
      <c r="B16" s="5">
        <v>43799</v>
      </c>
      <c r="C16" s="5">
        <v>43742</v>
      </c>
      <c r="D16">
        <v>31.6586</v>
      </c>
      <c r="E16">
        <v>5.9055</v>
      </c>
      <c r="F16" s="1">
        <v>7580.28</v>
      </c>
      <c r="G16" s="1">
        <v>4467.74</v>
      </c>
      <c r="H16" s="11">
        <f t="shared" si="0"/>
        <v>4.46774</v>
      </c>
      <c r="I16">
        <v>55.757694244384702</v>
      </c>
      <c r="J16" s="1">
        <v>31</v>
      </c>
      <c r="K16" s="4">
        <v>0.32355899999999999</v>
      </c>
      <c r="L16" s="3">
        <v>143.05593300000001</v>
      </c>
      <c r="M16">
        <v>58.703879999999998</v>
      </c>
      <c r="N16">
        <v>1.28</v>
      </c>
      <c r="O16" s="1"/>
      <c r="P16" s="3"/>
      <c r="Q16" s="1"/>
      <c r="R16" s="1"/>
    </row>
    <row r="17" spans="1:14">
      <c r="A17">
        <v>16</v>
      </c>
      <c r="B17" s="5">
        <v>43802</v>
      </c>
      <c r="C17" s="5">
        <v>43742</v>
      </c>
      <c r="D17">
        <v>31.6586</v>
      </c>
      <c r="E17">
        <v>5.9055</v>
      </c>
      <c r="F17" s="1">
        <v>7952.91</v>
      </c>
      <c r="G17" s="1">
        <v>20427.62</v>
      </c>
      <c r="H17" s="11">
        <f t="shared" si="0"/>
        <v>20.427619999999997</v>
      </c>
      <c r="I17">
        <v>55.664421081542898</v>
      </c>
      <c r="J17" s="1">
        <v>17</v>
      </c>
      <c r="K17" s="4">
        <v>0.198211</v>
      </c>
      <c r="L17" s="3">
        <v>139.089899</v>
      </c>
      <c r="M17">
        <v>12.559063</v>
      </c>
      <c r="N17">
        <v>5.21</v>
      </c>
    </row>
    <row r="18" spans="1:14">
      <c r="A18">
        <v>17</v>
      </c>
      <c r="B18" s="5">
        <v>43804</v>
      </c>
      <c r="C18" s="5">
        <v>43742</v>
      </c>
      <c r="D18">
        <v>31.6586</v>
      </c>
      <c r="E18">
        <v>5.9055</v>
      </c>
      <c r="F18" s="1">
        <v>2112.1999999999998</v>
      </c>
      <c r="G18" s="1">
        <v>3687.53</v>
      </c>
      <c r="H18" s="11">
        <f t="shared" si="0"/>
        <v>3.6875300000000002</v>
      </c>
      <c r="I18">
        <v>56.588676452636697</v>
      </c>
      <c r="J18" s="1">
        <v>50</v>
      </c>
      <c r="K18" s="4">
        <v>1.119904</v>
      </c>
      <c r="L18" s="3">
        <v>183.09560300000001</v>
      </c>
      <c r="M18">
        <v>111.34112500000001</v>
      </c>
      <c r="N18">
        <v>0.28000000000000003</v>
      </c>
    </row>
    <row r="19" spans="1:14">
      <c r="A19">
        <v>18</v>
      </c>
      <c r="B19" s="5">
        <v>43807</v>
      </c>
      <c r="C19" s="5">
        <v>43742</v>
      </c>
      <c r="D19">
        <v>31.6586</v>
      </c>
      <c r="E19">
        <v>5.9055</v>
      </c>
      <c r="F19" s="1">
        <v>6610.85</v>
      </c>
      <c r="G19" s="1">
        <v>6217.81</v>
      </c>
      <c r="H19" s="11">
        <f t="shared" si="0"/>
        <v>6.2178100000000001</v>
      </c>
      <c r="I19">
        <v>56.387577056884702</v>
      </c>
      <c r="J19" s="1">
        <v>15</v>
      </c>
      <c r="K19" s="4">
        <v>0.16067500000000001</v>
      </c>
      <c r="L19" s="3">
        <v>75.179784999999995</v>
      </c>
      <c r="M19">
        <v>9.8464360000000006</v>
      </c>
      <c r="N19">
        <v>5.14</v>
      </c>
    </row>
    <row r="20" spans="1:14">
      <c r="A20">
        <v>19</v>
      </c>
      <c r="B20" s="5">
        <v>43822</v>
      </c>
      <c r="C20" s="5">
        <v>43742</v>
      </c>
      <c r="D20">
        <v>31.6586</v>
      </c>
      <c r="E20">
        <v>5.9055</v>
      </c>
      <c r="F20" s="1">
        <v>9993.6299999999992</v>
      </c>
      <c r="G20" s="1">
        <v>8651.82</v>
      </c>
      <c r="H20" s="11">
        <f t="shared" si="0"/>
        <v>8.651819999999999</v>
      </c>
      <c r="I20">
        <v>57.5221557617187</v>
      </c>
      <c r="J20" s="1">
        <v>17</v>
      </c>
      <c r="K20" s="4">
        <v>0.22357299999999999</v>
      </c>
      <c r="L20" s="3">
        <v>73.824115000000006</v>
      </c>
      <c r="M20">
        <v>7.7083310000000003</v>
      </c>
      <c r="N20">
        <v>4.63</v>
      </c>
    </row>
    <row r="21" spans="1:14">
      <c r="A21">
        <v>20</v>
      </c>
      <c r="B21" s="5">
        <v>43824</v>
      </c>
      <c r="C21" s="5">
        <v>43742</v>
      </c>
      <c r="D21">
        <v>31.6586</v>
      </c>
      <c r="E21">
        <v>5.9055</v>
      </c>
      <c r="F21" s="1">
        <v>3858.02</v>
      </c>
      <c r="G21" s="1">
        <v>6462.68</v>
      </c>
      <c r="H21" s="11">
        <f t="shared" si="0"/>
        <v>6.4626800000000006</v>
      </c>
      <c r="I21">
        <v>58.239555358886697</v>
      </c>
      <c r="J21" s="1">
        <v>38</v>
      </c>
      <c r="K21" s="4">
        <v>0.37852000000000002</v>
      </c>
      <c r="L21" s="3">
        <v>81.614949999999993</v>
      </c>
      <c r="M21">
        <v>21.095085000000001</v>
      </c>
      <c r="N21">
        <v>1.32</v>
      </c>
    </row>
    <row r="22" spans="1:14">
      <c r="A22">
        <v>21</v>
      </c>
      <c r="B22" s="5">
        <v>43827</v>
      </c>
      <c r="C22" s="5">
        <v>43742</v>
      </c>
      <c r="D22">
        <v>31.6586</v>
      </c>
      <c r="E22">
        <v>5.9055</v>
      </c>
      <c r="F22" s="1">
        <v>5069.5</v>
      </c>
      <c r="G22" s="1">
        <v>14542.92</v>
      </c>
      <c r="H22" s="11">
        <f t="shared" si="0"/>
        <v>14.542920000000001</v>
      </c>
      <c r="I22">
        <v>57.540946960449197</v>
      </c>
      <c r="J22" s="1">
        <v>36</v>
      </c>
      <c r="K22" s="4">
        <v>0.65677799999999997</v>
      </c>
      <c r="L22" s="3">
        <v>100.179838</v>
      </c>
      <c r="M22">
        <v>23.700724000000001</v>
      </c>
      <c r="N22">
        <v>2.1800000000000002</v>
      </c>
    </row>
    <row r="23" spans="1:14">
      <c r="A23">
        <v>22</v>
      </c>
      <c r="B23" s="5">
        <v>43832</v>
      </c>
      <c r="C23" s="5">
        <v>43742</v>
      </c>
      <c r="D23">
        <v>31.6586</v>
      </c>
      <c r="E23">
        <v>5.9055</v>
      </c>
      <c r="F23" s="1">
        <v>4467.3599999999997</v>
      </c>
      <c r="G23" s="1">
        <v>5815.07</v>
      </c>
      <c r="H23" s="11">
        <f t="shared" si="0"/>
        <v>5.8150699999999995</v>
      </c>
      <c r="I23">
        <v>57.376838684082003</v>
      </c>
      <c r="J23" s="1">
        <v>21</v>
      </c>
      <c r="K23" s="4">
        <v>0.22564100000000001</v>
      </c>
      <c r="L23" s="3">
        <v>66.648330999999999</v>
      </c>
      <c r="M23">
        <v>12.202908000000001</v>
      </c>
      <c r="N23">
        <v>1.58</v>
      </c>
    </row>
    <row r="24" spans="1:14">
      <c r="A24">
        <v>23</v>
      </c>
      <c r="B24" s="5">
        <v>43834</v>
      </c>
      <c r="C24" s="5">
        <v>43742</v>
      </c>
      <c r="D24">
        <v>31.6586</v>
      </c>
      <c r="E24">
        <v>5.9055</v>
      </c>
      <c r="F24" s="1">
        <v>3359.29</v>
      </c>
      <c r="G24" s="1">
        <v>5003.1899999999996</v>
      </c>
      <c r="H24" s="11">
        <f t="shared" si="0"/>
        <v>5.00319</v>
      </c>
      <c r="I24">
        <v>57.999031066894503</v>
      </c>
      <c r="J24" s="1">
        <v>14</v>
      </c>
      <c r="K24" s="4">
        <v>0.14689199999999999</v>
      </c>
      <c r="L24" s="3">
        <v>77.201036000000002</v>
      </c>
      <c r="M24">
        <v>7.7761310000000003</v>
      </c>
      <c r="N24">
        <v>3.46</v>
      </c>
    </row>
    <row r="25" spans="1:14">
      <c r="A25">
        <v>24</v>
      </c>
      <c r="B25" s="5">
        <v>43837</v>
      </c>
      <c r="C25" s="5">
        <v>43742</v>
      </c>
      <c r="D25">
        <v>31.6586</v>
      </c>
      <c r="E25">
        <v>5.9055</v>
      </c>
      <c r="F25" s="1">
        <v>11119.07</v>
      </c>
      <c r="G25" s="1">
        <v>14256.37</v>
      </c>
      <c r="H25" s="11">
        <f t="shared" si="0"/>
        <v>14.25637</v>
      </c>
      <c r="I25">
        <v>57.027530670166001</v>
      </c>
      <c r="J25" s="1">
        <v>51</v>
      </c>
      <c r="K25" s="4">
        <v>0.59277800000000003</v>
      </c>
      <c r="L25" s="3">
        <v>140.132081</v>
      </c>
      <c r="M25">
        <v>70.719543000000002</v>
      </c>
      <c r="N25">
        <v>1.81</v>
      </c>
    </row>
    <row r="26" spans="1:14">
      <c r="A26">
        <v>25</v>
      </c>
      <c r="B26" s="5">
        <v>43844</v>
      </c>
      <c r="C26" s="5">
        <v>43742</v>
      </c>
      <c r="D26">
        <v>31.6586</v>
      </c>
      <c r="E26">
        <v>5.9055</v>
      </c>
      <c r="F26" s="1">
        <v>6637.11</v>
      </c>
      <c r="G26" s="1">
        <v>10106.84</v>
      </c>
      <c r="H26" s="11">
        <f t="shared" si="0"/>
        <v>10.10684</v>
      </c>
      <c r="I26">
        <v>57.033145904541001</v>
      </c>
      <c r="J26" s="1">
        <v>20</v>
      </c>
      <c r="K26" s="4">
        <v>0.31779800000000002</v>
      </c>
      <c r="L26" s="3">
        <v>43.566042000000003</v>
      </c>
      <c r="M26">
        <v>15.265249000000001</v>
      </c>
      <c r="N26">
        <v>2.1</v>
      </c>
    </row>
    <row r="27" spans="1:14">
      <c r="A27">
        <v>96</v>
      </c>
      <c r="B27" s="5">
        <v>43844</v>
      </c>
      <c r="C27" s="5">
        <v>43947</v>
      </c>
      <c r="D27">
        <v>31.777899999999999</v>
      </c>
      <c r="E27">
        <v>5.9950000000000001</v>
      </c>
      <c r="F27" s="1">
        <v>1700.64</v>
      </c>
      <c r="G27" s="1">
        <v>1466.09</v>
      </c>
      <c r="I27">
        <v>57.033157348632798</v>
      </c>
      <c r="J27">
        <v>10</v>
      </c>
      <c r="K27" s="4">
        <v>6.8570999999999993E-2</v>
      </c>
      <c r="L27" s="3">
        <v>23.345234999999999</v>
      </c>
      <c r="M27">
        <v>1.746094</v>
      </c>
      <c r="N27">
        <v>2</v>
      </c>
    </row>
    <row r="28" spans="1:14">
      <c r="A28">
        <v>26</v>
      </c>
      <c r="B28" s="5">
        <v>43847</v>
      </c>
      <c r="C28" s="5">
        <v>43742</v>
      </c>
      <c r="D28">
        <v>31.6586</v>
      </c>
      <c r="E28">
        <v>5.9055</v>
      </c>
      <c r="F28" s="1">
        <v>4566.24</v>
      </c>
      <c r="G28" s="1">
        <v>8737.92</v>
      </c>
      <c r="H28" s="11">
        <f>G28/1000</f>
        <v>8.7379200000000008</v>
      </c>
      <c r="I28">
        <v>55.7923583984375</v>
      </c>
      <c r="J28" s="1">
        <v>55</v>
      </c>
      <c r="K28" s="4">
        <v>1.0119149999999999</v>
      </c>
      <c r="L28" s="3">
        <v>124.33824799999999</v>
      </c>
      <c r="M28">
        <v>70.897675000000007</v>
      </c>
      <c r="N28">
        <v>0.7</v>
      </c>
    </row>
    <row r="29" spans="1:14">
      <c r="A29">
        <v>97</v>
      </c>
      <c r="B29" s="5">
        <v>43847</v>
      </c>
      <c r="C29" s="5">
        <v>43947</v>
      </c>
      <c r="D29">
        <v>31.777899999999999</v>
      </c>
      <c r="E29">
        <v>5.9950000000000001</v>
      </c>
      <c r="F29" s="1">
        <v>1539.09</v>
      </c>
      <c r="G29" s="1">
        <v>2272.5</v>
      </c>
      <c r="I29">
        <v>55.7923583984375</v>
      </c>
      <c r="J29">
        <v>20</v>
      </c>
      <c r="K29">
        <v>0.28930099999999997</v>
      </c>
      <c r="L29" s="3">
        <v>48.507731</v>
      </c>
      <c r="M29">
        <v>9.3765140000000002</v>
      </c>
      <c r="N29">
        <v>0.66</v>
      </c>
    </row>
    <row r="30" spans="1:14">
      <c r="A30">
        <v>27</v>
      </c>
      <c r="B30" s="5">
        <v>43857</v>
      </c>
      <c r="C30" s="5">
        <v>43742</v>
      </c>
      <c r="D30">
        <v>31.6586</v>
      </c>
      <c r="E30">
        <v>5.9055</v>
      </c>
      <c r="F30" s="1">
        <v>7093.4</v>
      </c>
      <c r="G30" s="1">
        <v>13756.42</v>
      </c>
      <c r="H30" s="11">
        <f>G30/1000</f>
        <v>13.75642</v>
      </c>
      <c r="I30">
        <v>53.882194519042898</v>
      </c>
      <c r="J30" s="1">
        <v>25</v>
      </c>
      <c r="K30" s="4">
        <v>0.33498800000000001</v>
      </c>
      <c r="L30" s="3">
        <v>105.171289</v>
      </c>
      <c r="M30">
        <v>14.357225</v>
      </c>
      <c r="N30">
        <v>4.99</v>
      </c>
    </row>
    <row r="31" spans="1:14">
      <c r="A31">
        <v>28</v>
      </c>
      <c r="B31" s="5">
        <v>43859</v>
      </c>
      <c r="C31" s="5">
        <v>43742</v>
      </c>
      <c r="D31">
        <v>31.6586</v>
      </c>
      <c r="E31">
        <v>5.9055</v>
      </c>
      <c r="F31" s="1">
        <v>7379.68</v>
      </c>
      <c r="G31" s="1">
        <v>8325.99</v>
      </c>
      <c r="H31" s="11">
        <f>G31/1000</f>
        <v>8.3259899999999991</v>
      </c>
      <c r="I31">
        <v>54.309211730957003</v>
      </c>
      <c r="J31" s="1">
        <v>30</v>
      </c>
      <c r="K31" s="4">
        <v>0.406306</v>
      </c>
      <c r="L31" s="3">
        <v>88.566359000000006</v>
      </c>
      <c r="M31">
        <v>27.870263999999999</v>
      </c>
      <c r="N31">
        <v>1.53</v>
      </c>
    </row>
    <row r="32" spans="1:14">
      <c r="A32">
        <v>29</v>
      </c>
      <c r="B32" s="5">
        <v>43862</v>
      </c>
      <c r="C32" s="5">
        <v>43742</v>
      </c>
      <c r="D32">
        <v>31.6586</v>
      </c>
      <c r="E32">
        <v>5.9055</v>
      </c>
      <c r="F32" s="1">
        <v>3213.63</v>
      </c>
      <c r="G32" s="1">
        <v>4051.69</v>
      </c>
      <c r="H32" s="11">
        <f>G32/1000</f>
        <v>4.0516899999999998</v>
      </c>
      <c r="I32">
        <v>52.694465637207003</v>
      </c>
      <c r="J32" s="1">
        <v>22</v>
      </c>
      <c r="K32" s="4">
        <v>0.24626799999999999</v>
      </c>
      <c r="L32" s="3">
        <v>91.214033999999998</v>
      </c>
      <c r="M32">
        <v>18.444513000000001</v>
      </c>
      <c r="N32">
        <v>1</v>
      </c>
    </row>
    <row r="33" spans="1:14">
      <c r="A33">
        <v>30</v>
      </c>
      <c r="B33" s="5">
        <v>43867</v>
      </c>
      <c r="C33" s="5">
        <v>43742</v>
      </c>
      <c r="D33">
        <v>31.6586</v>
      </c>
      <c r="E33">
        <v>5.9055</v>
      </c>
      <c r="F33" s="1">
        <v>3695.82</v>
      </c>
      <c r="G33" s="1">
        <v>5847.28</v>
      </c>
      <c r="H33" s="11">
        <f>G33/1000</f>
        <v>5.8472799999999996</v>
      </c>
      <c r="I33">
        <v>51.363101959228501</v>
      </c>
      <c r="J33" s="1">
        <v>10</v>
      </c>
      <c r="K33" s="4">
        <v>0.14546200000000001</v>
      </c>
      <c r="L33" s="3">
        <v>38.013156000000002</v>
      </c>
      <c r="M33">
        <v>2.860201</v>
      </c>
      <c r="N33">
        <v>4.3899999999999997</v>
      </c>
    </row>
    <row r="34" spans="1:14">
      <c r="A34">
        <v>31</v>
      </c>
      <c r="B34" s="5">
        <v>43879</v>
      </c>
      <c r="C34" s="5">
        <v>43742</v>
      </c>
      <c r="D34">
        <v>31.6586</v>
      </c>
      <c r="E34">
        <v>5.9055</v>
      </c>
      <c r="F34" s="1">
        <v>8024.34</v>
      </c>
      <c r="G34" s="1">
        <v>11487.36</v>
      </c>
      <c r="H34" s="11">
        <f>G34/1000</f>
        <v>11.487360000000001</v>
      </c>
      <c r="I34">
        <v>48.678714752197202</v>
      </c>
      <c r="J34" s="1">
        <v>24</v>
      </c>
      <c r="K34" s="4">
        <v>0.35295199999999999</v>
      </c>
      <c r="L34" s="3">
        <v>67.941151000000005</v>
      </c>
      <c r="M34">
        <v>17.770792</v>
      </c>
      <c r="N34">
        <v>1.89</v>
      </c>
    </row>
    <row r="35" spans="1:14">
      <c r="A35">
        <v>98</v>
      </c>
      <c r="B35" s="5">
        <v>43879</v>
      </c>
      <c r="C35" s="5">
        <v>43947</v>
      </c>
      <c r="D35">
        <v>31.777899999999999</v>
      </c>
      <c r="E35">
        <v>5.9950000000000001</v>
      </c>
      <c r="F35" s="1">
        <v>1967.52</v>
      </c>
      <c r="G35" s="1">
        <v>4509</v>
      </c>
      <c r="I35">
        <v>48.6787109375</v>
      </c>
      <c r="J35">
        <v>11</v>
      </c>
      <c r="K35" s="4">
        <v>0.188388</v>
      </c>
      <c r="L35" s="3">
        <v>39.962482000000001</v>
      </c>
      <c r="M35">
        <v>4.4244640000000004</v>
      </c>
      <c r="N35">
        <v>1.85</v>
      </c>
    </row>
    <row r="36" spans="1:14">
      <c r="A36">
        <v>32</v>
      </c>
      <c r="B36" s="5">
        <v>43884</v>
      </c>
      <c r="C36" s="5">
        <v>43742</v>
      </c>
      <c r="D36">
        <v>31.6586</v>
      </c>
      <c r="E36">
        <v>5.9055</v>
      </c>
      <c r="F36" s="1">
        <v>3360.05</v>
      </c>
      <c r="G36" s="1">
        <v>5273.08</v>
      </c>
      <c r="H36" s="11">
        <f t="shared" ref="H36:H44" si="1">G36/1000</f>
        <v>5.2730800000000002</v>
      </c>
      <c r="I36">
        <v>46.996669769287102</v>
      </c>
      <c r="J36" s="1">
        <v>9</v>
      </c>
      <c r="K36" s="4">
        <v>0.20592199999999999</v>
      </c>
      <c r="L36" s="3">
        <v>23.086793</v>
      </c>
      <c r="M36">
        <v>2.2451490000000001</v>
      </c>
      <c r="N36">
        <v>4.28</v>
      </c>
    </row>
    <row r="37" spans="1:14">
      <c r="A37">
        <v>33</v>
      </c>
      <c r="B37" s="5">
        <v>43887</v>
      </c>
      <c r="C37" s="5">
        <v>43742</v>
      </c>
      <c r="D37">
        <v>31.6586</v>
      </c>
      <c r="E37">
        <v>5.9055</v>
      </c>
      <c r="F37" s="1">
        <v>7483.6</v>
      </c>
      <c r="G37" s="1">
        <v>9088.58</v>
      </c>
      <c r="H37" s="11">
        <f t="shared" si="1"/>
        <v>9.0885800000000003</v>
      </c>
      <c r="I37">
        <v>44.909732818603501</v>
      </c>
      <c r="J37" s="1">
        <v>26</v>
      </c>
      <c r="K37" s="4">
        <v>0.23578299999999999</v>
      </c>
      <c r="L37" s="3">
        <v>89.050546999999995</v>
      </c>
      <c r="M37">
        <v>14.261831000000001</v>
      </c>
      <c r="N37">
        <v>4.32</v>
      </c>
    </row>
    <row r="38" spans="1:14">
      <c r="A38">
        <v>34</v>
      </c>
      <c r="B38" s="5">
        <v>43889</v>
      </c>
      <c r="C38" s="5">
        <v>43742</v>
      </c>
      <c r="D38">
        <v>31.6586</v>
      </c>
      <c r="E38">
        <v>5.9055</v>
      </c>
      <c r="F38" s="1">
        <v>2298.2800000000002</v>
      </c>
      <c r="G38" s="1">
        <v>2720.83</v>
      </c>
      <c r="H38" s="11">
        <f t="shared" si="1"/>
        <v>2.7208299999999999</v>
      </c>
      <c r="I38">
        <v>45.244083404541001</v>
      </c>
      <c r="J38" s="1">
        <v>44</v>
      </c>
      <c r="K38" s="4">
        <v>0.33101599999999998</v>
      </c>
      <c r="L38" s="3">
        <v>220.90722</v>
      </c>
      <c r="M38">
        <v>57.444321000000002</v>
      </c>
      <c r="N38">
        <v>0.55000000000000004</v>
      </c>
    </row>
    <row r="39" spans="1:14">
      <c r="A39">
        <v>35</v>
      </c>
      <c r="B39" s="5">
        <v>43892</v>
      </c>
      <c r="C39" s="5">
        <v>43742</v>
      </c>
      <c r="D39">
        <v>31.6586</v>
      </c>
      <c r="E39">
        <v>5.9055</v>
      </c>
      <c r="F39" s="1">
        <v>10933.37</v>
      </c>
      <c r="G39" s="1">
        <v>11703.78</v>
      </c>
      <c r="H39" s="11">
        <f t="shared" si="1"/>
        <v>11.70378</v>
      </c>
      <c r="I39">
        <v>43.090091705322202</v>
      </c>
      <c r="J39" s="1">
        <v>16</v>
      </c>
      <c r="K39" s="4">
        <v>0.14599300000000001</v>
      </c>
      <c r="L39" s="3">
        <v>78.236819999999994</v>
      </c>
      <c r="M39">
        <v>10.850085999999999</v>
      </c>
      <c r="N39">
        <v>4.24</v>
      </c>
    </row>
    <row r="40" spans="1:14">
      <c r="A40">
        <v>36</v>
      </c>
      <c r="B40" s="5">
        <v>43897</v>
      </c>
      <c r="C40" s="5">
        <v>43742</v>
      </c>
      <c r="D40">
        <v>31.6586</v>
      </c>
      <c r="E40">
        <v>5.9055</v>
      </c>
      <c r="F40" s="1">
        <v>13071.99</v>
      </c>
      <c r="G40" s="1">
        <v>16391.03</v>
      </c>
      <c r="H40" s="11">
        <f t="shared" si="1"/>
        <v>16.391029999999997</v>
      </c>
      <c r="I40">
        <v>41.211299896240199</v>
      </c>
      <c r="J40" s="1">
        <v>18</v>
      </c>
      <c r="K40" s="4">
        <v>0.113306</v>
      </c>
      <c r="L40" s="3">
        <v>76.275814999999994</v>
      </c>
      <c r="M40">
        <v>8.0088080000000001</v>
      </c>
      <c r="N40">
        <v>9.14</v>
      </c>
    </row>
    <row r="41" spans="1:14">
      <c r="A41">
        <v>37</v>
      </c>
      <c r="B41" s="5">
        <v>43899</v>
      </c>
      <c r="C41" s="5">
        <v>43742</v>
      </c>
      <c r="D41">
        <v>31.6586</v>
      </c>
      <c r="E41">
        <v>5.9055</v>
      </c>
      <c r="F41" s="1">
        <v>5705.09</v>
      </c>
      <c r="G41" s="1">
        <v>8291.26</v>
      </c>
      <c r="H41" s="11">
        <f t="shared" si="1"/>
        <v>8.2912599999999994</v>
      </c>
      <c r="I41">
        <v>41.561321258544901</v>
      </c>
      <c r="J41" s="1">
        <v>14</v>
      </c>
      <c r="K41" s="4">
        <v>0.29038999999999998</v>
      </c>
      <c r="L41" s="3">
        <v>57.245086999999998</v>
      </c>
      <c r="M41">
        <v>10.915012000000001</v>
      </c>
      <c r="N41">
        <v>1.65</v>
      </c>
    </row>
    <row r="42" spans="1:14">
      <c r="A42">
        <v>38</v>
      </c>
      <c r="B42" s="5">
        <v>43902</v>
      </c>
      <c r="C42" s="5">
        <v>43742</v>
      </c>
      <c r="D42">
        <v>31.6586</v>
      </c>
      <c r="E42">
        <v>5.9055</v>
      </c>
      <c r="F42" s="1">
        <v>6650.51</v>
      </c>
      <c r="G42" s="1">
        <v>20321.830000000002</v>
      </c>
      <c r="H42" s="11">
        <f t="shared" si="1"/>
        <v>20.321830000000002</v>
      </c>
      <c r="I42">
        <v>39.303218841552699</v>
      </c>
      <c r="J42" s="1">
        <v>18</v>
      </c>
      <c r="K42" s="4">
        <v>0.52755200000000002</v>
      </c>
      <c r="L42" s="3">
        <v>52.773099000000002</v>
      </c>
      <c r="M42">
        <v>9.8139800000000008</v>
      </c>
      <c r="N42">
        <v>1.85</v>
      </c>
    </row>
    <row r="43" spans="1:14">
      <c r="A43">
        <v>39</v>
      </c>
      <c r="B43" s="5">
        <v>43904</v>
      </c>
      <c r="C43" s="5">
        <v>43742</v>
      </c>
      <c r="D43">
        <v>31.6586</v>
      </c>
      <c r="E43">
        <v>5.9055</v>
      </c>
      <c r="F43" s="1">
        <v>9173.69</v>
      </c>
      <c r="G43" s="1">
        <v>12672.47</v>
      </c>
      <c r="H43" s="11">
        <f t="shared" si="1"/>
        <v>12.672469999999999</v>
      </c>
      <c r="I43">
        <v>39.665340423583899</v>
      </c>
      <c r="J43" s="1">
        <v>37</v>
      </c>
      <c r="K43" s="4">
        <v>0.70324299999999995</v>
      </c>
      <c r="L43" s="3">
        <v>39.319206999999999</v>
      </c>
      <c r="M43">
        <v>15.268558000000001</v>
      </c>
      <c r="N43">
        <v>1.86</v>
      </c>
    </row>
    <row r="44" spans="1:14">
      <c r="A44">
        <v>40</v>
      </c>
      <c r="B44" s="5">
        <v>43912</v>
      </c>
      <c r="C44" s="5">
        <v>43742</v>
      </c>
      <c r="D44">
        <v>31.6586</v>
      </c>
      <c r="E44">
        <v>5.9055</v>
      </c>
      <c r="F44" s="1">
        <v>11991.73</v>
      </c>
      <c r="G44" s="1">
        <v>4388.49</v>
      </c>
      <c r="H44" s="11">
        <f t="shared" si="1"/>
        <v>4.38849</v>
      </c>
      <c r="I44">
        <v>35.439853668212798</v>
      </c>
      <c r="J44" s="1">
        <v>20</v>
      </c>
      <c r="K44" s="4">
        <v>0.15726799999999999</v>
      </c>
      <c r="L44" s="3">
        <v>41.436698999999997</v>
      </c>
      <c r="M44">
        <v>10.245962</v>
      </c>
      <c r="N44">
        <v>2.36</v>
      </c>
    </row>
    <row r="45" spans="1:14">
      <c r="A45">
        <v>99</v>
      </c>
      <c r="B45" s="5">
        <v>43912</v>
      </c>
      <c r="C45" s="5">
        <v>43947</v>
      </c>
      <c r="D45">
        <v>31.777899999999999</v>
      </c>
      <c r="E45">
        <v>5.9950000000000001</v>
      </c>
      <c r="F45" s="1">
        <v>4620.07</v>
      </c>
      <c r="G45" s="1">
        <v>2996</v>
      </c>
      <c r="I45">
        <v>35.439853668212798</v>
      </c>
      <c r="J45">
        <v>12</v>
      </c>
      <c r="K45" s="4">
        <v>0.188693</v>
      </c>
      <c r="L45" s="3">
        <v>25.70992</v>
      </c>
      <c r="M45">
        <v>3.638061</v>
      </c>
      <c r="N45">
        <v>2.38</v>
      </c>
    </row>
    <row r="46" spans="1:14">
      <c r="A46">
        <v>41</v>
      </c>
      <c r="B46" s="5">
        <v>43922</v>
      </c>
      <c r="C46" s="5">
        <v>43742</v>
      </c>
      <c r="D46">
        <v>31.6586</v>
      </c>
      <c r="E46">
        <v>5.9055</v>
      </c>
      <c r="F46" s="1">
        <v>10003.09</v>
      </c>
      <c r="G46" s="1">
        <v>19779.18</v>
      </c>
      <c r="H46" s="11">
        <f>G46/1000</f>
        <v>19.77918</v>
      </c>
      <c r="I46">
        <v>31.6343975067138</v>
      </c>
      <c r="J46" s="1">
        <v>16</v>
      </c>
      <c r="K46" s="4">
        <v>0.210202</v>
      </c>
      <c r="L46" s="3">
        <v>57.584719999999997</v>
      </c>
      <c r="M46">
        <v>4.6375279999999997</v>
      </c>
      <c r="N46">
        <v>6.54</v>
      </c>
    </row>
    <row r="47" spans="1:14">
      <c r="A47">
        <v>42</v>
      </c>
      <c r="B47" s="5">
        <v>43929</v>
      </c>
      <c r="C47" s="5">
        <v>43742</v>
      </c>
      <c r="D47">
        <v>31.6586</v>
      </c>
      <c r="E47">
        <v>5.9055</v>
      </c>
      <c r="F47" s="1">
        <v>7341.69</v>
      </c>
      <c r="G47" s="1">
        <v>11157.38</v>
      </c>
      <c r="H47" s="11">
        <f>G47/1000</f>
        <v>11.15738</v>
      </c>
      <c r="I47">
        <v>30.3785381317138</v>
      </c>
      <c r="J47" s="1">
        <v>46</v>
      </c>
      <c r="K47" s="4">
        <v>0.27268900000000001</v>
      </c>
      <c r="L47" s="3">
        <v>124.310096</v>
      </c>
      <c r="M47">
        <v>16.509139999999999</v>
      </c>
      <c r="N47">
        <v>3.01</v>
      </c>
    </row>
    <row r="48" spans="1:14">
      <c r="A48">
        <v>100</v>
      </c>
      <c r="B48" s="5">
        <v>43932</v>
      </c>
      <c r="C48" s="5">
        <v>43947</v>
      </c>
      <c r="D48">
        <v>31.777899999999999</v>
      </c>
      <c r="E48">
        <v>5.9950000000000001</v>
      </c>
      <c r="F48" s="1">
        <v>10879.08</v>
      </c>
      <c r="G48" s="1">
        <v>14026.78</v>
      </c>
      <c r="I48">
        <v>28.0161113739013</v>
      </c>
      <c r="J48">
        <v>11</v>
      </c>
      <c r="K48" s="4">
        <v>0.129222</v>
      </c>
      <c r="L48" s="3">
        <v>17.464248999999999</v>
      </c>
      <c r="M48">
        <v>1.8844829999999999</v>
      </c>
      <c r="N48">
        <v>7.42</v>
      </c>
    </row>
    <row r="49" spans="1:14">
      <c r="A49">
        <v>43</v>
      </c>
      <c r="B49" s="5">
        <v>43942</v>
      </c>
      <c r="C49" s="5">
        <v>43742</v>
      </c>
      <c r="D49">
        <v>31.6586</v>
      </c>
      <c r="E49">
        <v>5.9055</v>
      </c>
      <c r="F49" s="1">
        <v>10615.71</v>
      </c>
      <c r="G49" s="1">
        <v>14818.66</v>
      </c>
      <c r="H49" s="11">
        <f>G49/1000</f>
        <v>14.818659999999999</v>
      </c>
      <c r="I49">
        <v>24.729028701782202</v>
      </c>
      <c r="J49" s="1">
        <v>32</v>
      </c>
      <c r="K49" s="4">
        <v>0.18657699999999999</v>
      </c>
      <c r="L49" s="3">
        <v>111.664677</v>
      </c>
      <c r="M49">
        <v>17.439952999999999</v>
      </c>
      <c r="N49">
        <v>2.85</v>
      </c>
    </row>
    <row r="50" spans="1:14">
      <c r="A50">
        <v>44</v>
      </c>
      <c r="B50" s="5">
        <v>43944</v>
      </c>
      <c r="C50" s="5">
        <v>43742</v>
      </c>
      <c r="D50">
        <v>31.6586</v>
      </c>
      <c r="E50">
        <v>5.9055</v>
      </c>
      <c r="F50" s="1">
        <v>9631.36</v>
      </c>
      <c r="G50" s="1">
        <v>13079.67</v>
      </c>
      <c r="H50" s="11">
        <f>G50/1000</f>
        <v>13.07967</v>
      </c>
      <c r="I50">
        <v>25.5834655761718</v>
      </c>
      <c r="J50" s="1">
        <v>14</v>
      </c>
      <c r="K50" s="4">
        <v>0.19538</v>
      </c>
      <c r="L50" s="3">
        <v>31.622776999999999</v>
      </c>
      <c r="M50">
        <v>5.6560969999999999</v>
      </c>
      <c r="N50">
        <v>4.34</v>
      </c>
    </row>
    <row r="51" spans="1:14">
      <c r="A51">
        <v>45</v>
      </c>
      <c r="B51" s="5">
        <v>43947</v>
      </c>
      <c r="C51" s="5">
        <v>43742</v>
      </c>
      <c r="D51">
        <v>31.6586</v>
      </c>
      <c r="E51">
        <v>5.9055</v>
      </c>
      <c r="F51" s="1">
        <v>11882.19</v>
      </c>
      <c r="G51" s="1">
        <v>16483.05</v>
      </c>
      <c r="H51" s="11">
        <f>G51/1000</f>
        <v>16.483049999999999</v>
      </c>
      <c r="I51">
        <v>23.2687873840332</v>
      </c>
      <c r="J51" s="1">
        <v>11</v>
      </c>
      <c r="K51" s="4">
        <v>0.133103</v>
      </c>
      <c r="L51" s="3">
        <v>22.561028</v>
      </c>
      <c r="M51">
        <v>2.1100300000000001</v>
      </c>
      <c r="N51">
        <v>7.8</v>
      </c>
    </row>
    <row r="52" spans="1:14">
      <c r="A52">
        <v>46</v>
      </c>
      <c r="B52" s="5">
        <v>43949</v>
      </c>
      <c r="C52" s="5">
        <v>43742</v>
      </c>
      <c r="D52">
        <v>31.6586</v>
      </c>
      <c r="E52">
        <v>5.9055</v>
      </c>
      <c r="F52" s="1">
        <v>6144.11</v>
      </c>
      <c r="G52" s="1">
        <v>5237.8</v>
      </c>
      <c r="H52" s="11"/>
      <c r="I52">
        <v>24.191560745239201</v>
      </c>
      <c r="J52" s="1">
        <v>14</v>
      </c>
      <c r="K52" s="4">
        <v>8.8634000000000004E-2</v>
      </c>
      <c r="L52" s="3">
        <v>113.441615</v>
      </c>
      <c r="M52">
        <v>4.0752790000000001</v>
      </c>
      <c r="N52">
        <v>7.46</v>
      </c>
    </row>
    <row r="53" spans="1:14">
      <c r="A53">
        <v>59</v>
      </c>
      <c r="B53" s="5">
        <v>43954</v>
      </c>
      <c r="C53" s="5">
        <v>43947</v>
      </c>
      <c r="D53">
        <v>31.7773</v>
      </c>
      <c r="E53">
        <v>5.9941000000000004</v>
      </c>
      <c r="F53" s="1">
        <v>1355.77</v>
      </c>
      <c r="G53" s="1">
        <v>1800.84</v>
      </c>
      <c r="H53" s="11">
        <f>G53/1000</f>
        <v>1.80084</v>
      </c>
      <c r="I53">
        <v>22.975566864013601</v>
      </c>
      <c r="J53" s="1">
        <v>13</v>
      </c>
      <c r="K53" s="4">
        <v>8.5063E-2</v>
      </c>
      <c r="L53" s="3">
        <v>32.249031000000002</v>
      </c>
      <c r="M53">
        <v>1.985196</v>
      </c>
      <c r="N53">
        <v>1.27</v>
      </c>
    </row>
    <row r="54" spans="1:14">
      <c r="A54">
        <v>46</v>
      </c>
      <c r="B54" s="5">
        <v>43969</v>
      </c>
      <c r="C54" s="5">
        <v>43742</v>
      </c>
      <c r="D54">
        <v>31.6586</v>
      </c>
      <c r="E54">
        <v>5.9055</v>
      </c>
      <c r="F54" s="1">
        <v>6487.61</v>
      </c>
      <c r="G54" s="1">
        <v>3697.78</v>
      </c>
      <c r="H54" s="11"/>
      <c r="I54">
        <v>20.199232101440401</v>
      </c>
      <c r="J54" s="1">
        <v>12</v>
      </c>
      <c r="K54" s="4">
        <v>4.4145999999999998E-2</v>
      </c>
      <c r="L54" s="3">
        <v>81.8352</v>
      </c>
      <c r="M54">
        <v>4.4959020000000001</v>
      </c>
      <c r="N54">
        <v>6.32</v>
      </c>
    </row>
    <row r="55" spans="1:14">
      <c r="A55">
        <v>48</v>
      </c>
      <c r="B55" s="5">
        <v>43972</v>
      </c>
      <c r="C55" s="5">
        <v>43742</v>
      </c>
      <c r="D55">
        <v>31.6586</v>
      </c>
      <c r="E55">
        <v>5.9055</v>
      </c>
      <c r="F55" s="1">
        <v>9760</v>
      </c>
      <c r="G55" s="1">
        <v>29590.95</v>
      </c>
      <c r="H55" s="11"/>
      <c r="I55">
        <v>18.077791213989201</v>
      </c>
      <c r="J55" s="1">
        <v>40</v>
      </c>
      <c r="K55" s="4">
        <v>0.52925500000000003</v>
      </c>
      <c r="L55" s="3">
        <v>135.16286500000001</v>
      </c>
      <c r="M55">
        <v>24.116215</v>
      </c>
      <c r="N55">
        <v>2.7</v>
      </c>
    </row>
    <row r="56" spans="1:14">
      <c r="A56">
        <v>49</v>
      </c>
      <c r="B56" s="5">
        <v>43982</v>
      </c>
      <c r="C56" s="5">
        <v>43742</v>
      </c>
      <c r="D56">
        <v>31.6586</v>
      </c>
      <c r="E56">
        <v>5.9055</v>
      </c>
      <c r="F56" s="1">
        <v>12990.68</v>
      </c>
      <c r="G56" s="1">
        <v>25516.91</v>
      </c>
      <c r="H56" s="11"/>
      <c r="I56">
        <v>17.1630840301513</v>
      </c>
      <c r="J56" s="1">
        <v>32</v>
      </c>
      <c r="K56" s="4">
        <v>0.40514699999999998</v>
      </c>
      <c r="L56" s="3">
        <v>54.230986999999999</v>
      </c>
      <c r="M56">
        <v>9.2761700000000005</v>
      </c>
      <c r="N56">
        <v>2.97</v>
      </c>
    </row>
    <row r="57" spans="1:14">
      <c r="A57">
        <v>50</v>
      </c>
      <c r="B57" s="5">
        <v>43984</v>
      </c>
      <c r="C57" s="5">
        <v>43742</v>
      </c>
      <c r="D57">
        <v>31.6586</v>
      </c>
      <c r="E57">
        <v>5.9055</v>
      </c>
      <c r="F57" s="1">
        <v>7540.65</v>
      </c>
      <c r="G57" s="1">
        <v>28667.08</v>
      </c>
      <c r="H57" s="11"/>
      <c r="I57">
        <v>18.922866821288999</v>
      </c>
      <c r="J57" s="1">
        <v>25</v>
      </c>
      <c r="K57" s="4">
        <v>0.193832</v>
      </c>
      <c r="L57" s="3">
        <v>53.338540999999999</v>
      </c>
      <c r="M57">
        <v>6.2544110000000002</v>
      </c>
      <c r="N57">
        <v>6.06</v>
      </c>
    </row>
    <row r="58" spans="1:14">
      <c r="A58">
        <v>60</v>
      </c>
      <c r="B58" s="5">
        <v>43997</v>
      </c>
      <c r="C58" s="5">
        <v>43947</v>
      </c>
      <c r="D58">
        <v>31.7773</v>
      </c>
      <c r="E58">
        <v>5.9941000000000004</v>
      </c>
      <c r="F58" s="1">
        <v>2188.5500000000002</v>
      </c>
      <c r="G58" s="1">
        <v>4437.54</v>
      </c>
      <c r="H58" s="11">
        <f>G58/1000</f>
        <v>4.4375400000000003</v>
      </c>
      <c r="I58">
        <v>16.904356002807599</v>
      </c>
      <c r="J58" s="1">
        <v>8</v>
      </c>
      <c r="K58" s="4">
        <v>0.107504</v>
      </c>
      <c r="L58" s="3">
        <v>14.866069</v>
      </c>
      <c r="M58">
        <v>0.80346600000000001</v>
      </c>
      <c r="N58">
        <v>2.5299999999999998</v>
      </c>
    </row>
    <row r="59" spans="1:14">
      <c r="A59">
        <v>51</v>
      </c>
      <c r="B59" s="5">
        <v>44002</v>
      </c>
      <c r="C59" s="5">
        <v>43742</v>
      </c>
      <c r="D59">
        <v>31.6586</v>
      </c>
      <c r="E59">
        <v>5.9055</v>
      </c>
      <c r="F59" s="1">
        <v>10761.87</v>
      </c>
      <c r="G59" s="1">
        <v>13441.77</v>
      </c>
      <c r="H59" s="11"/>
      <c r="I59">
        <v>17.043104171752901</v>
      </c>
      <c r="J59" s="1">
        <v>10</v>
      </c>
      <c r="K59" s="4">
        <v>3.6380999999999997E-2</v>
      </c>
      <c r="L59" s="3">
        <v>66.030296000000007</v>
      </c>
      <c r="M59">
        <v>2.899597</v>
      </c>
      <c r="N59">
        <v>6.88</v>
      </c>
    </row>
    <row r="60" spans="1:14">
      <c r="A60">
        <v>52</v>
      </c>
      <c r="B60" s="5">
        <v>44007</v>
      </c>
      <c r="C60" s="5">
        <v>43742</v>
      </c>
      <c r="D60">
        <v>31.6586</v>
      </c>
      <c r="E60">
        <v>5.9055</v>
      </c>
      <c r="F60" s="1">
        <v>7825.82</v>
      </c>
      <c r="G60" s="1">
        <v>10149.44</v>
      </c>
      <c r="H60" s="11"/>
      <c r="I60">
        <v>17.299375534057599</v>
      </c>
      <c r="J60" s="1">
        <v>15</v>
      </c>
      <c r="K60" s="4">
        <v>9.06E-2</v>
      </c>
      <c r="L60" s="3">
        <v>36.124783999999998</v>
      </c>
      <c r="M60">
        <v>3.2846639999999998</v>
      </c>
      <c r="N60">
        <v>3.21</v>
      </c>
    </row>
    <row r="61" spans="1:14">
      <c r="A61">
        <v>53</v>
      </c>
      <c r="B61" s="5">
        <v>44012</v>
      </c>
      <c r="C61" s="5">
        <v>43742</v>
      </c>
      <c r="D61">
        <v>31.6586</v>
      </c>
      <c r="E61">
        <v>5.9055</v>
      </c>
      <c r="F61" s="1">
        <v>4489.95</v>
      </c>
      <c r="G61" s="1">
        <v>2389.34</v>
      </c>
      <c r="H61" s="11"/>
      <c r="I61">
        <v>17.619886398315401</v>
      </c>
      <c r="J61" s="1">
        <v>19</v>
      </c>
      <c r="K61" s="4">
        <v>0.11662699999999999</v>
      </c>
      <c r="L61" s="3">
        <v>58.523499999999999</v>
      </c>
      <c r="M61">
        <v>9.9540190000000006</v>
      </c>
      <c r="N61">
        <v>1.2</v>
      </c>
    </row>
    <row r="62" spans="1:14">
      <c r="A62">
        <v>61</v>
      </c>
      <c r="B62" s="5">
        <v>44012</v>
      </c>
      <c r="C62" s="5">
        <v>43947</v>
      </c>
      <c r="D62">
        <v>31.7773</v>
      </c>
      <c r="E62">
        <v>5.9941000000000004</v>
      </c>
      <c r="F62" s="1">
        <v>1694.53</v>
      </c>
      <c r="G62" s="1">
        <v>1977.66</v>
      </c>
      <c r="H62" s="11">
        <f>G62/1000</f>
        <v>1.97766</v>
      </c>
      <c r="I62">
        <v>17.619884490966701</v>
      </c>
      <c r="J62" s="1">
        <v>18</v>
      </c>
      <c r="K62" s="4">
        <v>0.12545600000000001</v>
      </c>
      <c r="L62" s="3">
        <v>24.738634000000001</v>
      </c>
      <c r="M62">
        <v>2.1044830000000001</v>
      </c>
      <c r="N62">
        <v>1.17</v>
      </c>
    </row>
    <row r="63" spans="1:14">
      <c r="A63">
        <v>54</v>
      </c>
      <c r="B63" s="5">
        <v>44014</v>
      </c>
      <c r="C63" s="5">
        <v>43742</v>
      </c>
      <c r="D63">
        <v>31.6586</v>
      </c>
      <c r="E63">
        <v>5.9055</v>
      </c>
      <c r="F63" s="1">
        <v>3605.78</v>
      </c>
      <c r="G63" s="1">
        <v>3459.49</v>
      </c>
      <c r="H63" s="11"/>
      <c r="I63">
        <v>19.7061252593994</v>
      </c>
      <c r="J63" s="1">
        <v>8</v>
      </c>
      <c r="K63" s="4">
        <v>9.4848000000000002E-2</v>
      </c>
      <c r="L63" s="3">
        <v>19.849433000000001</v>
      </c>
      <c r="M63">
        <v>1.6262270000000001</v>
      </c>
      <c r="N63">
        <v>2.97</v>
      </c>
    </row>
    <row r="64" spans="1:14">
      <c r="A64">
        <v>55</v>
      </c>
      <c r="B64" s="5">
        <v>44017</v>
      </c>
      <c r="C64" s="5">
        <v>43742</v>
      </c>
      <c r="D64">
        <v>31.6586</v>
      </c>
      <c r="E64">
        <v>5.9055</v>
      </c>
      <c r="F64" s="1">
        <v>5014.29</v>
      </c>
      <c r="G64" s="1">
        <v>11413.6</v>
      </c>
      <c r="H64" s="11"/>
      <c r="I64">
        <v>18.033143997192301</v>
      </c>
      <c r="J64" s="1">
        <v>15</v>
      </c>
      <c r="K64" s="4">
        <v>0.166356</v>
      </c>
      <c r="L64" s="3">
        <v>77.317526999999998</v>
      </c>
      <c r="M64">
        <v>10.26774</v>
      </c>
      <c r="N64">
        <v>2.57</v>
      </c>
    </row>
    <row r="65" spans="1:14">
      <c r="A65">
        <v>62</v>
      </c>
      <c r="B65" s="5">
        <v>44017</v>
      </c>
      <c r="C65" s="5">
        <v>43947</v>
      </c>
      <c r="D65">
        <v>31.7773</v>
      </c>
      <c r="E65">
        <v>5.9941000000000004</v>
      </c>
      <c r="F65" s="1">
        <v>1944.16</v>
      </c>
      <c r="G65" s="1">
        <v>2889.73</v>
      </c>
      <c r="H65" s="11">
        <f>G65/1000</f>
        <v>2.8897300000000001</v>
      </c>
      <c r="I65">
        <v>18.033145904541001</v>
      </c>
      <c r="J65" s="1">
        <v>6</v>
      </c>
      <c r="K65" s="4">
        <v>3.7907000000000003E-2</v>
      </c>
      <c r="L65" s="3">
        <v>19.646882999999999</v>
      </c>
      <c r="M65">
        <v>0.88568999999999998</v>
      </c>
      <c r="N65">
        <v>2.67</v>
      </c>
    </row>
    <row r="66" spans="1:14">
      <c r="A66">
        <v>56</v>
      </c>
      <c r="B66" s="5">
        <v>44019</v>
      </c>
      <c r="C66" s="5">
        <v>43742</v>
      </c>
      <c r="D66">
        <v>31.6586</v>
      </c>
      <c r="E66">
        <v>5.9055</v>
      </c>
      <c r="F66" s="1">
        <v>11001.73</v>
      </c>
      <c r="G66" s="1">
        <v>19978.87</v>
      </c>
      <c r="H66" s="11"/>
      <c r="I66">
        <v>20.118333816528299</v>
      </c>
      <c r="J66" s="1">
        <v>22</v>
      </c>
      <c r="K66" s="4">
        <v>8.6906999999999998E-2</v>
      </c>
      <c r="L66" s="3">
        <v>64.124877999999995</v>
      </c>
      <c r="M66">
        <v>5.4690079999999996</v>
      </c>
      <c r="N66">
        <v>5.66</v>
      </c>
    </row>
    <row r="67" spans="1:14">
      <c r="A67">
        <v>57</v>
      </c>
      <c r="B67" s="5">
        <v>44022</v>
      </c>
      <c r="C67" s="5">
        <v>43742</v>
      </c>
      <c r="D67">
        <v>31.6586</v>
      </c>
      <c r="E67">
        <v>5.9055</v>
      </c>
      <c r="F67" s="1">
        <v>11715.01</v>
      </c>
      <c r="G67" s="1">
        <v>11529.72</v>
      </c>
      <c r="H67" s="11"/>
      <c r="I67">
        <v>18.502395629882798</v>
      </c>
      <c r="J67" s="1">
        <v>26</v>
      </c>
      <c r="K67" s="4">
        <v>0.18245400000000001</v>
      </c>
      <c r="L67" s="3">
        <v>87.022985000000006</v>
      </c>
      <c r="M67">
        <v>11.294980000000001</v>
      </c>
      <c r="N67">
        <v>4.83</v>
      </c>
    </row>
    <row r="68" spans="1:14">
      <c r="A68">
        <v>63</v>
      </c>
      <c r="B68" s="5">
        <v>44022</v>
      </c>
      <c r="C68" s="5">
        <v>43947</v>
      </c>
      <c r="D68">
        <v>31.7773</v>
      </c>
      <c r="E68">
        <v>5.9941000000000004</v>
      </c>
      <c r="F68" s="1">
        <v>3140.51</v>
      </c>
      <c r="G68" s="1">
        <v>9934.8799999999992</v>
      </c>
      <c r="H68" s="11">
        <f>G68/1000</f>
        <v>9.9348799999999997</v>
      </c>
      <c r="I68">
        <v>18.502395629882798</v>
      </c>
      <c r="J68" s="1">
        <v>8</v>
      </c>
      <c r="K68" s="4">
        <v>9.5144000000000006E-2</v>
      </c>
      <c r="L68" s="3">
        <v>19.313207999999999</v>
      </c>
      <c r="M68">
        <v>1.540799</v>
      </c>
      <c r="N68">
        <v>4.75</v>
      </c>
    </row>
    <row r="69" spans="1:14">
      <c r="A69">
        <v>58</v>
      </c>
      <c r="B69" s="5">
        <v>44024</v>
      </c>
      <c r="C69" s="5">
        <v>43742</v>
      </c>
      <c r="D69">
        <v>31.6586</v>
      </c>
      <c r="E69">
        <v>5.9055</v>
      </c>
      <c r="F69" s="1">
        <v>6922.87</v>
      </c>
      <c r="G69" s="1">
        <v>14643.96</v>
      </c>
      <c r="H69" s="11"/>
      <c r="I69">
        <v>20.6099548339843</v>
      </c>
      <c r="J69" s="1">
        <v>25</v>
      </c>
      <c r="K69" s="4">
        <v>0.24654599999999999</v>
      </c>
      <c r="L69" s="3">
        <v>67.896980999999997</v>
      </c>
      <c r="M69">
        <v>9.8857189999999999</v>
      </c>
      <c r="N69">
        <v>3.48</v>
      </c>
    </row>
    <row r="70" spans="1:14">
      <c r="A70">
        <v>64</v>
      </c>
      <c r="B70" s="5">
        <v>44024</v>
      </c>
      <c r="C70" s="5">
        <v>43947</v>
      </c>
      <c r="D70">
        <v>31.7773</v>
      </c>
      <c r="E70">
        <v>5.9941000000000004</v>
      </c>
      <c r="F70" s="1">
        <v>4914.9399999999996</v>
      </c>
      <c r="G70" s="1">
        <v>6784.08</v>
      </c>
      <c r="H70" s="11">
        <f t="shared" ref="H70:H81" si="2">G70/1000</f>
        <v>6.7840800000000003</v>
      </c>
      <c r="I70">
        <v>20.609951019287099</v>
      </c>
      <c r="J70" s="1">
        <v>13</v>
      </c>
      <c r="K70" s="4">
        <v>0.14480999999999999</v>
      </c>
      <c r="L70" s="3">
        <v>35.171011</v>
      </c>
      <c r="M70">
        <v>3.6562420000000002</v>
      </c>
      <c r="N70">
        <v>3.55</v>
      </c>
    </row>
    <row r="71" spans="1:14">
      <c r="A71">
        <v>80</v>
      </c>
      <c r="B71" s="5">
        <v>44024</v>
      </c>
      <c r="C71" s="5">
        <v>43947</v>
      </c>
      <c r="D71">
        <v>31.768799999999999</v>
      </c>
      <c r="E71">
        <v>6.0003000000000002</v>
      </c>
      <c r="F71" s="1">
        <v>6012.62</v>
      </c>
      <c r="G71" s="1">
        <v>4337.84</v>
      </c>
      <c r="H71" s="11">
        <f t="shared" si="2"/>
        <v>4.3378399999999999</v>
      </c>
      <c r="I71">
        <v>20.073650360107401</v>
      </c>
      <c r="J71">
        <v>11</v>
      </c>
      <c r="K71" s="4">
        <v>7.8661999999999996E-2</v>
      </c>
      <c r="L71" s="3">
        <v>33.015148000000003</v>
      </c>
      <c r="M71">
        <v>3.7445729999999999</v>
      </c>
      <c r="N71">
        <v>3.54</v>
      </c>
    </row>
    <row r="72" spans="1:14">
      <c r="A72">
        <v>65</v>
      </c>
      <c r="B72" s="5">
        <v>44037</v>
      </c>
      <c r="C72" s="5">
        <v>43947</v>
      </c>
      <c r="D72">
        <v>31.7773</v>
      </c>
      <c r="E72">
        <v>5.9941000000000004</v>
      </c>
      <c r="F72" s="1">
        <v>2293.52</v>
      </c>
      <c r="G72" s="1">
        <v>3394.5</v>
      </c>
      <c r="H72" s="11">
        <f t="shared" si="2"/>
        <v>3.3944999999999999</v>
      </c>
      <c r="I72">
        <v>20.364948272705</v>
      </c>
      <c r="J72" s="1">
        <v>6</v>
      </c>
      <c r="K72" s="4">
        <v>4.3820999999999999E-2</v>
      </c>
      <c r="L72" s="3">
        <v>15.811388000000001</v>
      </c>
      <c r="M72">
        <v>0.72118199999999999</v>
      </c>
      <c r="N72">
        <v>3.56</v>
      </c>
    </row>
    <row r="73" spans="1:14">
      <c r="A73">
        <v>81</v>
      </c>
      <c r="B73" s="5">
        <v>44037</v>
      </c>
      <c r="C73" s="5">
        <v>43947</v>
      </c>
      <c r="D73">
        <v>31.768799999999999</v>
      </c>
      <c r="E73">
        <v>6.0003000000000002</v>
      </c>
      <c r="F73" s="1">
        <v>5928.28</v>
      </c>
      <c r="G73" s="1">
        <v>5944.91</v>
      </c>
      <c r="H73" s="11">
        <f t="shared" si="2"/>
        <v>5.9449100000000001</v>
      </c>
      <c r="I73">
        <v>19.876619338989201</v>
      </c>
      <c r="J73" s="1">
        <v>9</v>
      </c>
      <c r="K73" s="4">
        <v>9.3469999999999998E-2</v>
      </c>
      <c r="L73" s="3">
        <v>18.027756</v>
      </c>
      <c r="M73">
        <v>1.8577030000000001</v>
      </c>
      <c r="N73">
        <v>3.59</v>
      </c>
    </row>
    <row r="74" spans="1:14">
      <c r="A74">
        <v>66</v>
      </c>
      <c r="B74" s="5">
        <v>44042</v>
      </c>
      <c r="C74" s="5">
        <v>43947</v>
      </c>
      <c r="D74">
        <v>31.7773</v>
      </c>
      <c r="E74">
        <v>5.9941000000000004</v>
      </c>
      <c r="F74" s="1">
        <v>12366.59</v>
      </c>
      <c r="G74" s="1">
        <v>17106.55</v>
      </c>
      <c r="H74" s="11">
        <f t="shared" si="2"/>
        <v>17.106549999999999</v>
      </c>
      <c r="I74">
        <v>21.1221618652343</v>
      </c>
      <c r="J74" s="1">
        <v>11</v>
      </c>
      <c r="K74" s="4">
        <v>0.20547099999999999</v>
      </c>
      <c r="L74" s="3">
        <v>21.931712000000001</v>
      </c>
      <c r="M74">
        <v>3.1518169999999999</v>
      </c>
      <c r="N74">
        <v>5.47</v>
      </c>
    </row>
    <row r="75" spans="1:14">
      <c r="A75">
        <v>67</v>
      </c>
      <c r="B75" s="5">
        <v>44044</v>
      </c>
      <c r="C75" s="5">
        <v>43947</v>
      </c>
      <c r="D75">
        <v>31.7773</v>
      </c>
      <c r="E75">
        <v>5.9941000000000004</v>
      </c>
      <c r="F75" s="1">
        <v>2080.56</v>
      </c>
      <c r="G75" s="1">
        <v>2212.3000000000002</v>
      </c>
      <c r="H75" s="11">
        <f t="shared" si="2"/>
        <v>2.2123000000000004</v>
      </c>
      <c r="I75">
        <v>23.189121246337798</v>
      </c>
      <c r="J75" s="1">
        <v>8</v>
      </c>
      <c r="K75" s="4">
        <v>6.0164000000000002E-2</v>
      </c>
      <c r="L75" s="3">
        <v>42.438189999999999</v>
      </c>
      <c r="M75">
        <v>2.9101659999999998</v>
      </c>
      <c r="N75">
        <v>1.6</v>
      </c>
    </row>
    <row r="76" spans="1:14">
      <c r="A76">
        <v>82</v>
      </c>
      <c r="B76" s="5">
        <v>44044</v>
      </c>
      <c r="C76" s="5">
        <v>43947</v>
      </c>
      <c r="D76">
        <v>31.768799999999999</v>
      </c>
      <c r="E76">
        <v>6.0003000000000002</v>
      </c>
      <c r="F76" s="1">
        <v>2219</v>
      </c>
      <c r="G76" s="1">
        <v>3408.83</v>
      </c>
      <c r="H76" s="11">
        <f t="shared" si="2"/>
        <v>3.40883</v>
      </c>
      <c r="I76">
        <v>22.695371627807599</v>
      </c>
      <c r="J76">
        <v>5</v>
      </c>
      <c r="K76" s="4">
        <v>5.1069000000000003E-2</v>
      </c>
      <c r="L76" s="3">
        <v>15.620499000000001</v>
      </c>
      <c r="M76">
        <v>1.1385529999999999</v>
      </c>
      <c r="N76">
        <v>1.61</v>
      </c>
    </row>
    <row r="77" spans="1:14">
      <c r="A77">
        <v>68</v>
      </c>
      <c r="B77" s="5">
        <v>44049</v>
      </c>
      <c r="C77" s="5">
        <v>43947</v>
      </c>
      <c r="D77">
        <v>31.7773</v>
      </c>
      <c r="E77">
        <v>5.9941000000000004</v>
      </c>
      <c r="F77" s="1">
        <v>5395.5</v>
      </c>
      <c r="G77" s="1">
        <v>4422.7700000000004</v>
      </c>
      <c r="H77" s="11">
        <f t="shared" si="2"/>
        <v>4.4227700000000008</v>
      </c>
      <c r="I77">
        <v>24.0022468566894</v>
      </c>
      <c r="J77" s="1">
        <v>9</v>
      </c>
      <c r="K77" s="4">
        <v>0.111176</v>
      </c>
      <c r="L77" s="3">
        <v>29.154758999999999</v>
      </c>
      <c r="M77">
        <v>1.798362</v>
      </c>
      <c r="N77">
        <v>5.56</v>
      </c>
    </row>
    <row r="78" spans="1:14">
      <c r="A78">
        <v>69</v>
      </c>
      <c r="B78" s="5">
        <v>44059</v>
      </c>
      <c r="C78" s="5">
        <v>43947</v>
      </c>
      <c r="D78">
        <v>31.7773</v>
      </c>
      <c r="E78">
        <v>5.9941000000000004</v>
      </c>
      <c r="F78" s="1">
        <v>10370.629999999999</v>
      </c>
      <c r="G78" s="1">
        <v>17720.060000000001</v>
      </c>
      <c r="H78" s="11">
        <f t="shared" si="2"/>
        <v>17.72006</v>
      </c>
      <c r="I78">
        <v>25.8935222625732</v>
      </c>
      <c r="J78" s="1">
        <v>11</v>
      </c>
      <c r="K78" s="4">
        <v>0.12865199999999999</v>
      </c>
      <c r="L78" s="3">
        <v>22.561028</v>
      </c>
      <c r="M78">
        <v>1.8602609999999999</v>
      </c>
      <c r="N78">
        <v>5.19</v>
      </c>
    </row>
    <row r="79" spans="1:14">
      <c r="A79">
        <v>70</v>
      </c>
      <c r="B79" s="5">
        <v>44067</v>
      </c>
      <c r="C79" s="5">
        <v>43947</v>
      </c>
      <c r="D79">
        <v>31.7773</v>
      </c>
      <c r="E79">
        <v>5.9941000000000004</v>
      </c>
      <c r="F79" s="1">
        <v>7131.43</v>
      </c>
      <c r="G79" s="1">
        <v>8853.92</v>
      </c>
      <c r="H79" s="11">
        <f t="shared" si="2"/>
        <v>8.8539200000000005</v>
      </c>
      <c r="I79">
        <v>26.241636276245099</v>
      </c>
      <c r="J79" s="1">
        <v>17</v>
      </c>
      <c r="K79" s="4">
        <v>0.119683</v>
      </c>
      <c r="L79" s="3">
        <v>42.941820999999997</v>
      </c>
      <c r="M79">
        <v>3.9815049999999998</v>
      </c>
      <c r="N79">
        <v>4.83</v>
      </c>
    </row>
    <row r="80" spans="1:14">
      <c r="A80">
        <v>71</v>
      </c>
      <c r="B80" s="5">
        <v>44072</v>
      </c>
      <c r="C80" s="5">
        <v>43947</v>
      </c>
      <c r="D80">
        <v>31.7773</v>
      </c>
      <c r="E80">
        <v>5.9941000000000004</v>
      </c>
      <c r="F80" s="1">
        <v>4213.1400000000003</v>
      </c>
      <c r="G80" s="1">
        <v>5604.35</v>
      </c>
      <c r="H80" s="11">
        <f t="shared" si="2"/>
        <v>5.6043500000000002</v>
      </c>
      <c r="I80">
        <v>27.5250148773193</v>
      </c>
      <c r="J80" s="1">
        <v>11</v>
      </c>
      <c r="K80">
        <v>0.13289599999999999</v>
      </c>
      <c r="L80" s="3">
        <v>26.476405</v>
      </c>
      <c r="M80">
        <v>2.781101</v>
      </c>
      <c r="N80">
        <v>2.0099999999999998</v>
      </c>
    </row>
    <row r="81" spans="1:14">
      <c r="A81">
        <v>83</v>
      </c>
      <c r="B81" s="5">
        <v>44072</v>
      </c>
      <c r="C81" s="5">
        <v>43947</v>
      </c>
      <c r="D81">
        <v>31.768799999999999</v>
      </c>
      <c r="E81">
        <v>6.0003000000000002</v>
      </c>
      <c r="F81" s="1">
        <v>2222.0300000000002</v>
      </c>
      <c r="G81" s="1">
        <v>2989.91</v>
      </c>
      <c r="H81" s="11">
        <f t="shared" si="2"/>
        <v>2.9899100000000001</v>
      </c>
      <c r="I81">
        <v>27.173576354980401</v>
      </c>
      <c r="J81">
        <v>6</v>
      </c>
      <c r="K81">
        <v>7.1875999999999995E-2</v>
      </c>
      <c r="L81" s="3">
        <v>22.135943999999999</v>
      </c>
      <c r="M81">
        <v>1.4793989999999999</v>
      </c>
      <c r="N81">
        <v>2.0099999999999998</v>
      </c>
    </row>
    <row r="82" spans="1:14">
      <c r="A82">
        <v>84</v>
      </c>
      <c r="B82" s="5">
        <v>44092</v>
      </c>
      <c r="C82" s="5">
        <v>43947</v>
      </c>
      <c r="D82">
        <v>31.768799999999999</v>
      </c>
      <c r="E82">
        <v>6.0003000000000002</v>
      </c>
      <c r="F82" s="1">
        <v>3441.02</v>
      </c>
      <c r="G82" s="1">
        <v>4691.7299999999996</v>
      </c>
      <c r="I82">
        <v>33.177433013916001</v>
      </c>
      <c r="J82">
        <v>12</v>
      </c>
      <c r="K82" s="4">
        <v>0.18609000000000001</v>
      </c>
      <c r="L82" s="3">
        <v>26.019224000000001</v>
      </c>
      <c r="M82">
        <v>2.5238230000000001</v>
      </c>
      <c r="N82">
        <v>1.86</v>
      </c>
    </row>
    <row r="83" spans="1:14">
      <c r="A83">
        <v>72</v>
      </c>
      <c r="B83" s="5">
        <v>44104</v>
      </c>
      <c r="C83" s="5">
        <v>43947</v>
      </c>
      <c r="D83">
        <v>31.7773</v>
      </c>
      <c r="E83">
        <v>5.9941000000000004</v>
      </c>
      <c r="F83" s="1">
        <v>2680.37</v>
      </c>
      <c r="G83" s="1">
        <v>4751.26</v>
      </c>
      <c r="H83" s="11">
        <f>G83/1000</f>
        <v>4.7512600000000003</v>
      </c>
      <c r="I83">
        <v>38.309749603271399</v>
      </c>
      <c r="J83" s="1">
        <v>10</v>
      </c>
      <c r="K83" s="4">
        <v>0.14044200000000001</v>
      </c>
      <c r="L83" s="3">
        <v>26.019224000000001</v>
      </c>
      <c r="M83">
        <v>2.0580539999999998</v>
      </c>
      <c r="N83">
        <v>2.4700000000000002</v>
      </c>
    </row>
    <row r="84" spans="1:14">
      <c r="A84">
        <v>85</v>
      </c>
      <c r="B84" s="5">
        <v>44104</v>
      </c>
      <c r="C84" s="5">
        <v>43947</v>
      </c>
      <c r="D84">
        <v>31.768799999999999</v>
      </c>
      <c r="E84">
        <v>6.0003000000000002</v>
      </c>
      <c r="F84" s="1">
        <v>3038.19</v>
      </c>
      <c r="G84" s="1">
        <v>5877.67</v>
      </c>
      <c r="I84">
        <v>38.049812316894503</v>
      </c>
      <c r="J84">
        <v>18</v>
      </c>
      <c r="K84" s="4">
        <v>0.14534900000000001</v>
      </c>
      <c r="L84" s="3">
        <v>36.619667</v>
      </c>
      <c r="M84">
        <v>2.9413179999999999</v>
      </c>
      <c r="N84">
        <v>2.4900000000000002</v>
      </c>
    </row>
    <row r="85" spans="1:14">
      <c r="A85">
        <v>73</v>
      </c>
      <c r="B85" s="5">
        <v>44114</v>
      </c>
      <c r="C85" s="5">
        <v>43947</v>
      </c>
      <c r="D85">
        <v>31.7773</v>
      </c>
      <c r="E85">
        <v>5.9941000000000004</v>
      </c>
      <c r="F85" s="1">
        <v>4049.88</v>
      </c>
      <c r="G85" s="1">
        <v>6611.78</v>
      </c>
      <c r="H85" s="11">
        <f>G85/1000</f>
        <v>6.6117799999999995</v>
      </c>
      <c r="I85">
        <v>41.618038177490199</v>
      </c>
      <c r="J85" s="1">
        <v>7</v>
      </c>
      <c r="K85" s="4">
        <v>8.3866999999999997E-2</v>
      </c>
      <c r="L85" s="3">
        <v>14.866069</v>
      </c>
      <c r="M85">
        <v>0.75687400000000005</v>
      </c>
      <c r="N85">
        <v>5.79</v>
      </c>
    </row>
    <row r="86" spans="1:14">
      <c r="A86">
        <v>86</v>
      </c>
      <c r="B86" s="5">
        <v>44114</v>
      </c>
      <c r="C86" s="5">
        <v>43947</v>
      </c>
      <c r="D86">
        <v>31.768799999999999</v>
      </c>
      <c r="E86">
        <v>6.0003000000000002</v>
      </c>
      <c r="F86" s="1">
        <v>5122.7</v>
      </c>
      <c r="G86" s="1">
        <v>4566.3900000000003</v>
      </c>
      <c r="I86">
        <v>41.388309478759702</v>
      </c>
      <c r="J86">
        <v>7</v>
      </c>
      <c r="K86" s="4">
        <v>5.4239999999999997E-2</v>
      </c>
      <c r="L86" s="3">
        <v>15.811388000000001</v>
      </c>
      <c r="M86">
        <v>0.98408700000000005</v>
      </c>
      <c r="N86">
        <v>5.81</v>
      </c>
    </row>
    <row r="87" spans="1:14">
      <c r="A87">
        <v>74</v>
      </c>
      <c r="B87" s="5">
        <v>44117</v>
      </c>
      <c r="C87" s="5">
        <v>43947</v>
      </c>
      <c r="D87">
        <v>31.7773</v>
      </c>
      <c r="E87">
        <v>5.9941000000000004</v>
      </c>
      <c r="F87" s="1">
        <v>2454.87</v>
      </c>
      <c r="G87" s="1">
        <v>4175.3999999999996</v>
      </c>
      <c r="H87" s="11">
        <f>G87/1000</f>
        <v>4.1753999999999998</v>
      </c>
      <c r="I87">
        <v>41.864017486572202</v>
      </c>
      <c r="J87" s="1">
        <v>21</v>
      </c>
      <c r="K87" s="4">
        <v>0.19286800000000001</v>
      </c>
      <c r="L87" s="3">
        <v>103.85566900000001</v>
      </c>
      <c r="M87">
        <v>12.781973000000001</v>
      </c>
      <c r="N87">
        <v>1.54</v>
      </c>
    </row>
    <row r="88" spans="1:14">
      <c r="A88">
        <v>87</v>
      </c>
      <c r="B88" s="5">
        <v>44117</v>
      </c>
      <c r="C88" s="5">
        <v>43947</v>
      </c>
      <c r="D88">
        <v>31.768799999999999</v>
      </c>
      <c r="E88">
        <v>6.0003000000000002</v>
      </c>
      <c r="F88" s="1">
        <v>3287.9</v>
      </c>
      <c r="G88" s="1">
        <v>4824.76</v>
      </c>
      <c r="I88">
        <v>41.676372528076101</v>
      </c>
      <c r="J88">
        <v>13</v>
      </c>
      <c r="K88" s="4">
        <v>0.218804</v>
      </c>
      <c r="L88" s="3">
        <v>30.870698000000001</v>
      </c>
      <c r="M88">
        <v>4.7350589999999997</v>
      </c>
      <c r="N88">
        <v>1.54</v>
      </c>
    </row>
    <row r="89" spans="1:14">
      <c r="A89">
        <v>75</v>
      </c>
      <c r="B89" s="5">
        <v>44122</v>
      </c>
      <c r="C89" s="5">
        <v>43947</v>
      </c>
      <c r="D89">
        <v>31.7773</v>
      </c>
      <c r="E89">
        <v>5.9941000000000004</v>
      </c>
      <c r="F89" s="1">
        <v>1722.62</v>
      </c>
      <c r="G89" s="1">
        <v>2428.27</v>
      </c>
      <c r="H89" s="11">
        <f>G89/1000</f>
        <v>2.4282699999999999</v>
      </c>
      <c r="I89">
        <v>43.557491302490199</v>
      </c>
      <c r="J89" s="1">
        <v>9</v>
      </c>
      <c r="K89" s="4">
        <v>0.121623</v>
      </c>
      <c r="L89" s="3">
        <v>12.165525000000001</v>
      </c>
      <c r="M89">
        <v>0.99047700000000005</v>
      </c>
      <c r="N89">
        <v>5.09</v>
      </c>
    </row>
    <row r="90" spans="1:14">
      <c r="A90">
        <v>88</v>
      </c>
      <c r="B90" s="5">
        <v>44122</v>
      </c>
      <c r="C90" s="5">
        <v>43947</v>
      </c>
      <c r="D90">
        <v>31.768799999999999</v>
      </c>
      <c r="E90">
        <v>6.0003000000000002</v>
      </c>
      <c r="F90" s="1">
        <v>6459.71</v>
      </c>
      <c r="G90" s="1">
        <v>7618.14</v>
      </c>
      <c r="I90">
        <v>43.380733489990199</v>
      </c>
      <c r="J90">
        <v>12</v>
      </c>
      <c r="K90" s="4">
        <v>0.11803900000000001</v>
      </c>
      <c r="L90" s="3">
        <v>23.769729000000002</v>
      </c>
      <c r="M90">
        <v>2.2351369999999999</v>
      </c>
      <c r="N90">
        <v>5.13</v>
      </c>
    </row>
    <row r="91" spans="1:14">
      <c r="A91">
        <v>76</v>
      </c>
      <c r="B91" s="5">
        <v>44129</v>
      </c>
      <c r="C91" s="5">
        <v>43947</v>
      </c>
      <c r="D91">
        <v>31.7773</v>
      </c>
      <c r="E91">
        <v>5.9941000000000004</v>
      </c>
      <c r="F91" s="1">
        <v>3863.37</v>
      </c>
      <c r="G91" s="1">
        <v>5050.97</v>
      </c>
      <c r="H91" s="11">
        <f>G91/1000</f>
        <v>5.0509700000000004</v>
      </c>
      <c r="I91">
        <v>46.541255950927699</v>
      </c>
      <c r="J91" s="1">
        <v>6</v>
      </c>
      <c r="K91" s="4">
        <v>5.2458999999999999E-2</v>
      </c>
      <c r="L91" s="3">
        <v>12.727922</v>
      </c>
      <c r="M91">
        <v>0.65774100000000002</v>
      </c>
      <c r="N91">
        <v>4.49</v>
      </c>
    </row>
    <row r="92" spans="1:14">
      <c r="A92">
        <v>77</v>
      </c>
      <c r="B92" s="5">
        <v>44132</v>
      </c>
      <c r="C92" s="5">
        <v>43947</v>
      </c>
      <c r="D92">
        <v>31.7773</v>
      </c>
      <c r="E92">
        <v>5.9941000000000004</v>
      </c>
      <c r="F92" s="1">
        <v>1117.6400000000001</v>
      </c>
      <c r="G92" s="1">
        <v>1039.1600000000001</v>
      </c>
      <c r="H92" s="11">
        <f>G92/1000</f>
        <v>1.0391600000000001</v>
      </c>
      <c r="I92">
        <v>46.840065002441399</v>
      </c>
      <c r="J92" s="1">
        <v>10</v>
      </c>
      <c r="K92" s="4">
        <v>0.13191</v>
      </c>
      <c r="L92" s="3">
        <v>13.416408000000001</v>
      </c>
      <c r="M92">
        <v>1.853871</v>
      </c>
      <c r="N92">
        <v>0.49</v>
      </c>
    </row>
    <row r="93" spans="1:14">
      <c r="A93">
        <v>78</v>
      </c>
      <c r="B93" s="5">
        <v>44142</v>
      </c>
      <c r="C93" s="5">
        <v>43947</v>
      </c>
      <c r="D93">
        <v>31.7773</v>
      </c>
      <c r="E93">
        <v>5.9941000000000004</v>
      </c>
      <c r="F93" s="1">
        <v>2668.75</v>
      </c>
      <c r="G93" s="1">
        <v>4166.53</v>
      </c>
      <c r="H93" s="11">
        <f>G93/1000</f>
        <v>4.1665299999999998</v>
      </c>
      <c r="I93">
        <v>49.875591278076101</v>
      </c>
      <c r="J93" s="1">
        <v>20</v>
      </c>
      <c r="K93" s="4">
        <v>0.28460400000000002</v>
      </c>
      <c r="L93" s="3">
        <v>52.478566999999998</v>
      </c>
      <c r="M93">
        <v>11.376623</v>
      </c>
      <c r="N93">
        <v>1.56</v>
      </c>
    </row>
    <row r="94" spans="1:14">
      <c r="A94">
        <v>89</v>
      </c>
      <c r="B94" s="5">
        <v>44142</v>
      </c>
      <c r="C94" s="5">
        <v>43947</v>
      </c>
      <c r="D94">
        <v>31.768799999999999</v>
      </c>
      <c r="E94">
        <v>6.0003000000000002</v>
      </c>
      <c r="F94" s="1">
        <v>6493.39</v>
      </c>
      <c r="G94" s="1">
        <v>6575.23</v>
      </c>
      <c r="I94">
        <v>49.7252388000488</v>
      </c>
      <c r="J94">
        <v>20</v>
      </c>
      <c r="K94" s="4">
        <v>0.31531399999999998</v>
      </c>
      <c r="L94" s="3">
        <v>38.209946000000002</v>
      </c>
      <c r="M94">
        <v>11.312896</v>
      </c>
      <c r="N94">
        <v>1.58</v>
      </c>
    </row>
    <row r="95" spans="1:14">
      <c r="A95">
        <v>90</v>
      </c>
      <c r="B95" s="5">
        <v>44147</v>
      </c>
      <c r="C95" s="5">
        <v>43947</v>
      </c>
      <c r="D95">
        <v>31.768799999999999</v>
      </c>
      <c r="E95">
        <v>6.0003000000000002</v>
      </c>
      <c r="F95" s="1">
        <v>3795.42</v>
      </c>
      <c r="G95" s="1">
        <v>3740.4</v>
      </c>
      <c r="I95">
        <v>51.119625091552699</v>
      </c>
      <c r="J95">
        <v>8</v>
      </c>
      <c r="K95" s="4">
        <v>6.2007E-2</v>
      </c>
      <c r="L95" s="3">
        <v>19.646882999999999</v>
      </c>
      <c r="M95">
        <v>1.524246</v>
      </c>
      <c r="N95">
        <v>3.63</v>
      </c>
    </row>
    <row r="96" spans="1:14">
      <c r="A96">
        <v>79</v>
      </c>
      <c r="B96" s="5">
        <v>44152</v>
      </c>
      <c r="C96" s="5">
        <v>43947</v>
      </c>
      <c r="D96">
        <v>31.7773</v>
      </c>
      <c r="E96">
        <v>5.9941000000000004</v>
      </c>
      <c r="F96" s="1">
        <v>2164.8000000000002</v>
      </c>
      <c r="G96" s="1">
        <v>2166.71</v>
      </c>
      <c r="H96" s="11">
        <f>G96/1000</f>
        <v>2.1667100000000001</v>
      </c>
      <c r="I96">
        <v>52.548648834228501</v>
      </c>
      <c r="J96" s="1">
        <v>5</v>
      </c>
      <c r="K96" s="4">
        <v>7.6383000000000006E-2</v>
      </c>
      <c r="L96" s="3">
        <v>14.212669999999999</v>
      </c>
      <c r="M96">
        <v>1.0095190000000001</v>
      </c>
      <c r="N96">
        <v>3.04</v>
      </c>
    </row>
    <row r="97" spans="1:14">
      <c r="A97">
        <v>91</v>
      </c>
      <c r="B97" s="5">
        <v>44152</v>
      </c>
      <c r="C97" s="5">
        <v>43947</v>
      </c>
      <c r="D97">
        <v>31.768799999999999</v>
      </c>
      <c r="E97">
        <v>6.0003000000000002</v>
      </c>
      <c r="F97" s="1">
        <v>2030.44</v>
      </c>
      <c r="G97" s="1">
        <v>3378.79</v>
      </c>
      <c r="I97">
        <v>52.401992797851499</v>
      </c>
      <c r="J97">
        <v>8</v>
      </c>
      <c r="K97" s="4">
        <v>8.7554999999999994E-2</v>
      </c>
      <c r="L97" s="3">
        <v>27.294688000000001</v>
      </c>
      <c r="M97">
        <v>2.056432</v>
      </c>
      <c r="N97">
        <v>3.05</v>
      </c>
    </row>
    <row r="98" spans="1:14">
      <c r="A98">
        <v>92</v>
      </c>
      <c r="B98" s="5">
        <v>44159</v>
      </c>
      <c r="C98" s="5">
        <v>43947</v>
      </c>
      <c r="D98">
        <v>31.768799999999999</v>
      </c>
      <c r="E98">
        <v>6.0003000000000002</v>
      </c>
      <c r="F98" s="1">
        <v>3963.16</v>
      </c>
      <c r="G98" s="1">
        <v>5549.45</v>
      </c>
      <c r="I98">
        <v>54.560165405273402</v>
      </c>
      <c r="J98">
        <v>6</v>
      </c>
      <c r="K98" s="4">
        <v>0.110717</v>
      </c>
      <c r="L98" s="3">
        <v>24.698177999999999</v>
      </c>
      <c r="M98">
        <v>1.8294049999999999</v>
      </c>
      <c r="N98">
        <v>3.94</v>
      </c>
    </row>
    <row r="99" spans="1:14">
      <c r="A99">
        <v>93</v>
      </c>
      <c r="B99" s="5">
        <v>44172</v>
      </c>
      <c r="C99" s="5">
        <v>43947</v>
      </c>
      <c r="D99">
        <v>31.768799999999999</v>
      </c>
      <c r="E99">
        <v>6.0003000000000002</v>
      </c>
      <c r="F99" s="1">
        <v>2079.13</v>
      </c>
      <c r="G99" s="1">
        <v>8067.5</v>
      </c>
      <c r="I99">
        <v>56.198001861572202</v>
      </c>
      <c r="J99">
        <v>13</v>
      </c>
      <c r="K99" s="4">
        <v>0.12138699999999999</v>
      </c>
      <c r="L99" s="3">
        <v>54.817880000000002</v>
      </c>
      <c r="M99">
        <v>2.9928599999999999</v>
      </c>
      <c r="N99">
        <v>4.9000000000000004</v>
      </c>
    </row>
    <row r="100" spans="1:14">
      <c r="A100">
        <v>94</v>
      </c>
      <c r="B100" s="5">
        <v>44189</v>
      </c>
      <c r="C100" s="5">
        <v>43947</v>
      </c>
      <c r="D100">
        <v>31.768799999999999</v>
      </c>
      <c r="E100">
        <v>6.0003000000000002</v>
      </c>
      <c r="F100" s="1">
        <v>2975.45</v>
      </c>
      <c r="G100" s="1">
        <v>8465.19</v>
      </c>
      <c r="I100">
        <v>58.033260345458899</v>
      </c>
      <c r="J100">
        <v>24</v>
      </c>
      <c r="K100" s="4">
        <v>0.59227600000000002</v>
      </c>
      <c r="L100" s="3">
        <v>42.059482000000003</v>
      </c>
      <c r="M100">
        <v>13.660247999999999</v>
      </c>
      <c r="N100">
        <v>0.96</v>
      </c>
    </row>
    <row r="101" spans="1:14">
      <c r="A101">
        <v>95</v>
      </c>
      <c r="B101" s="5">
        <v>44192</v>
      </c>
      <c r="C101" s="5">
        <v>43947</v>
      </c>
      <c r="D101">
        <v>31.768799999999999</v>
      </c>
      <c r="E101">
        <v>6.0003000000000002</v>
      </c>
      <c r="F101" s="1">
        <v>4716.7</v>
      </c>
      <c r="G101" s="1">
        <v>5116.6000000000004</v>
      </c>
      <c r="I101">
        <v>57.361751556396399</v>
      </c>
      <c r="J101">
        <v>9</v>
      </c>
      <c r="K101" s="4">
        <v>0.122668</v>
      </c>
      <c r="L101" s="3">
        <v>22.803508999999998</v>
      </c>
      <c r="M101">
        <v>2.2580230000000001</v>
      </c>
      <c r="N101">
        <v>3.35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C83FC-11ED-46BE-A1CD-88E0B71A5E3B}">
  <dimension ref="A1:G15"/>
  <sheetViews>
    <sheetView workbookViewId="0">
      <selection activeCell="E23" sqref="E22:E23"/>
    </sheetView>
  </sheetViews>
  <sheetFormatPr defaultRowHeight="14.25"/>
  <cols>
    <col min="4" max="4" width="10.375" bestFit="1" customWidth="1"/>
  </cols>
  <sheetData>
    <row r="1" spans="1:7">
      <c r="A1" t="s">
        <v>63</v>
      </c>
      <c r="B1" t="s">
        <v>58</v>
      </c>
      <c r="C1" t="s">
        <v>61</v>
      </c>
      <c r="D1" t="s">
        <v>59</v>
      </c>
      <c r="E1" t="s">
        <v>60</v>
      </c>
      <c r="F1" t="s">
        <v>62</v>
      </c>
      <c r="G1" t="s">
        <v>64</v>
      </c>
    </row>
    <row r="2" spans="1:7">
      <c r="A2" s="1">
        <v>8737.92</v>
      </c>
      <c r="B2">
        <v>55.7923583984375</v>
      </c>
      <c r="C2" s="1">
        <v>88</v>
      </c>
      <c r="D2" s="4">
        <v>1.208893</v>
      </c>
      <c r="E2" s="3">
        <v>140.684043</v>
      </c>
      <c r="F2">
        <v>0.7</v>
      </c>
      <c r="G2">
        <v>5866.5346680000002</v>
      </c>
    </row>
    <row r="3" spans="1:7">
      <c r="A3" s="1">
        <v>12173.65</v>
      </c>
      <c r="B3">
        <v>54.917549133300703</v>
      </c>
      <c r="C3" s="1">
        <v>6</v>
      </c>
      <c r="D3" s="4">
        <v>4.4882999999999999E-2</v>
      </c>
      <c r="E3" s="3">
        <v>17.464248999999999</v>
      </c>
      <c r="F3">
        <v>6.45</v>
      </c>
      <c r="G3">
        <v>14307.325194999999</v>
      </c>
    </row>
    <row r="4" spans="1:7">
      <c r="A4" s="1">
        <v>13756.42</v>
      </c>
      <c r="B4">
        <v>53.882194519042898</v>
      </c>
      <c r="C4" s="1">
        <v>32</v>
      </c>
      <c r="D4" s="4">
        <v>0.39235700000000001</v>
      </c>
      <c r="E4" s="3">
        <v>106.169676</v>
      </c>
      <c r="F4">
        <v>4.99</v>
      </c>
      <c r="G4">
        <v>13800.409180000001</v>
      </c>
    </row>
    <row r="5" spans="1:7">
      <c r="A5" s="1">
        <v>5887.78</v>
      </c>
      <c r="B5">
        <v>54.309211730957003</v>
      </c>
      <c r="C5" s="1">
        <v>33</v>
      </c>
      <c r="D5" s="4">
        <v>0.38756299999999999</v>
      </c>
      <c r="E5" s="3">
        <v>90.824005999999997</v>
      </c>
      <c r="F5">
        <v>1.53</v>
      </c>
      <c r="G5">
        <v>8771.0732420000004</v>
      </c>
    </row>
    <row r="6" spans="1:7">
      <c r="A6" s="1">
        <v>4051.69</v>
      </c>
      <c r="B6">
        <v>52.694465637207003</v>
      </c>
      <c r="C6" s="1">
        <v>34</v>
      </c>
      <c r="D6" s="4">
        <v>0.33240700000000001</v>
      </c>
      <c r="E6" s="3">
        <v>92.179173000000006</v>
      </c>
      <c r="F6">
        <v>1</v>
      </c>
      <c r="G6">
        <v>7850.5913090000004</v>
      </c>
    </row>
    <row r="7" spans="1:7">
      <c r="A7" s="1">
        <v>5847.28</v>
      </c>
      <c r="B7">
        <v>51.363101959228501</v>
      </c>
      <c r="C7" s="1">
        <v>11</v>
      </c>
      <c r="D7" s="4">
        <v>9.9085000000000006E-2</v>
      </c>
      <c r="E7" s="3">
        <v>55.145263</v>
      </c>
      <c r="F7">
        <v>4.3899999999999997</v>
      </c>
      <c r="G7">
        <v>4395.8442379999997</v>
      </c>
    </row>
    <row r="8" spans="1:7">
      <c r="A8" s="1">
        <v>11487.36</v>
      </c>
      <c r="B8">
        <v>48.678714752197202</v>
      </c>
      <c r="C8" s="1">
        <v>28</v>
      </c>
      <c r="D8" s="4">
        <v>0.311112</v>
      </c>
      <c r="E8" s="3">
        <v>82.219218999999995</v>
      </c>
      <c r="F8">
        <v>1.89</v>
      </c>
      <c r="G8">
        <v>9966.7236329999996</v>
      </c>
    </row>
    <row r="9" spans="1:7">
      <c r="A9" s="1">
        <v>5273.08</v>
      </c>
      <c r="B9">
        <v>46.996669769287102</v>
      </c>
      <c r="C9" s="1">
        <v>15</v>
      </c>
      <c r="D9" s="4">
        <v>0.104015</v>
      </c>
      <c r="E9" s="3">
        <v>60.083275999999998</v>
      </c>
      <c r="F9">
        <v>4.28</v>
      </c>
      <c r="G9">
        <v>4204.6811520000001</v>
      </c>
    </row>
    <row r="10" spans="1:7">
      <c r="A10" s="1">
        <v>8376.66</v>
      </c>
      <c r="B10">
        <v>44.909732818603501</v>
      </c>
      <c r="C10" s="1">
        <v>28</v>
      </c>
      <c r="D10" s="4">
        <v>0.209004</v>
      </c>
      <c r="E10" s="3">
        <v>91.021974999999998</v>
      </c>
      <c r="F10">
        <v>4.32</v>
      </c>
      <c r="G10">
        <v>7934.7382809999999</v>
      </c>
    </row>
    <row r="11" spans="1:7">
      <c r="A11" s="1">
        <v>2739.63</v>
      </c>
      <c r="B11">
        <v>45.244083404541001</v>
      </c>
      <c r="C11" s="1">
        <v>47</v>
      </c>
      <c r="D11" s="4">
        <v>0.52134000000000003</v>
      </c>
      <c r="E11" s="3">
        <v>155.68236899999999</v>
      </c>
      <c r="F11">
        <v>0.55000000000000004</v>
      </c>
      <c r="G11">
        <v>6284.7255859999996</v>
      </c>
    </row>
    <row r="12" spans="1:7">
      <c r="A12" s="1">
        <v>11703.78</v>
      </c>
      <c r="B12">
        <v>43.090091705322202</v>
      </c>
      <c r="C12" s="1">
        <v>16</v>
      </c>
      <c r="D12" s="4">
        <v>0.14599300000000001</v>
      </c>
      <c r="E12" s="3">
        <v>79.322128000000006</v>
      </c>
      <c r="F12">
        <v>4.24</v>
      </c>
      <c r="G12">
        <v>5946.1083980000003</v>
      </c>
    </row>
    <row r="13" spans="1:7">
      <c r="A13" s="1">
        <v>16391.03</v>
      </c>
      <c r="B13">
        <v>41.211299896240199</v>
      </c>
      <c r="C13" s="1">
        <v>19</v>
      </c>
      <c r="D13" s="4">
        <v>0.15689500000000001</v>
      </c>
      <c r="E13" s="3">
        <v>78.600254000000007</v>
      </c>
      <c r="F13">
        <v>9.14</v>
      </c>
      <c r="G13">
        <v>14530.5</v>
      </c>
    </row>
    <row r="14" spans="1:7">
      <c r="A14" s="1">
        <v>8291.26</v>
      </c>
      <c r="B14">
        <v>41.561321258544901</v>
      </c>
      <c r="C14" s="1">
        <v>15</v>
      </c>
      <c r="D14" s="4">
        <v>0.29931400000000002</v>
      </c>
      <c r="E14" s="3">
        <v>59.236812999999998</v>
      </c>
      <c r="F14">
        <v>1.65</v>
      </c>
      <c r="G14">
        <v>6502.5512699999999</v>
      </c>
    </row>
    <row r="15" spans="1:7">
      <c r="A15" s="1">
        <v>20321.84</v>
      </c>
      <c r="B15">
        <v>39.303218841552699</v>
      </c>
      <c r="C15" s="1">
        <v>22</v>
      </c>
      <c r="D15" s="4">
        <v>0.46428199999999997</v>
      </c>
      <c r="E15" s="3">
        <v>58.940648000000003</v>
      </c>
      <c r="F15">
        <v>1.85</v>
      </c>
      <c r="G15">
        <v>8969.9990230000003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Plume Training</vt:lpstr>
      <vt:lpstr>Old</vt:lpstr>
      <vt:lpstr>Sheet1</vt:lpstr>
      <vt:lpstr>New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Kinsella</dc:creator>
  <cp:lastModifiedBy>Nicholas Kinsella</cp:lastModifiedBy>
  <dcterms:created xsi:type="dcterms:W3CDTF">2025-01-08T15:13:39Z</dcterms:created>
  <dcterms:modified xsi:type="dcterms:W3CDTF">2025-04-19T10:04:14Z</dcterms:modified>
</cp:coreProperties>
</file>