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me/Desktop/Classwork/Git/kickstarter-analysis/"/>
    </mc:Choice>
  </mc:AlternateContent>
  <xr:revisionPtr revIDLastSave="0" documentId="13_ncr:1_{8F77D0D6-288D-7D4D-8762-D88E37FFB7C3}" xr6:coauthVersionLast="47" xr6:coauthVersionMax="47" xr10:uidLastSave="{00000000-0000-0000-0000-000000000000}"/>
  <bookViews>
    <workbookView xWindow="0" yWindow="760" windowWidth="30240" windowHeight="17300" activeTab="1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Descriptive Statistics" sheetId="9" r:id="rId4"/>
    <sheet name="Category Statistics" sheetId="3" r:id="rId5"/>
    <sheet name="Subcategory Statistics" sheetId="4" r:id="rId6"/>
    <sheet name="Outcomes Bases on Launch Date" sheetId="5" r:id="rId7"/>
    <sheet name="Edinburg Research" sheetId="6" r:id="rId8"/>
  </sheets>
  <definedNames>
    <definedName name="_xlnm._FilterDatabase" localSheetId="0" hidden="1">Kickstarter!$A$1:$T$4119</definedName>
  </definedNames>
  <calcPr calcId="191029"/>
  <pivotCaches>
    <pivotCache cacheId="12" r:id="rId9"/>
    <pivotCache cacheId="13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3" i="13"/>
  <c r="C4" i="13"/>
  <c r="C5" i="13"/>
  <c r="C6" i="13"/>
  <c r="C7" i="13"/>
  <c r="C8" i="13"/>
  <c r="C9" i="13"/>
  <c r="C10" i="13"/>
  <c r="C11" i="13"/>
  <c r="C12" i="13"/>
  <c r="C13" i="13"/>
  <c r="C2" i="13"/>
  <c r="B4" i="13"/>
  <c r="B5" i="13"/>
  <c r="B6" i="13"/>
  <c r="B7" i="13"/>
  <c r="E7" i="13" s="1"/>
  <c r="B8" i="13"/>
  <c r="E8" i="13" s="1"/>
  <c r="B9" i="13"/>
  <c r="E9" i="13" s="1"/>
  <c r="B10" i="13"/>
  <c r="B11" i="13"/>
  <c r="B12" i="13"/>
  <c r="B13" i="13"/>
  <c r="B3" i="13"/>
  <c r="B2" i="13"/>
  <c r="C13" i="9"/>
  <c r="C12" i="9"/>
  <c r="C14" i="9" s="1"/>
  <c r="C11" i="9"/>
  <c r="B13" i="9"/>
  <c r="B12" i="9"/>
  <c r="B11" i="9"/>
  <c r="C6" i="9"/>
  <c r="C5" i="9"/>
  <c r="C4" i="9"/>
  <c r="B6" i="9"/>
  <c r="B7" i="9" s="1"/>
  <c r="B5" i="9"/>
  <c r="B4" i="9"/>
  <c r="C9" i="9"/>
  <c r="B10" i="9"/>
  <c r="B9" i="9"/>
  <c r="C10" i="9"/>
  <c r="C3" i="9"/>
  <c r="C2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S4119" i="1"/>
  <c r="U4119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0" i="13" l="1"/>
  <c r="H9" i="13"/>
  <c r="G10" i="13"/>
  <c r="H10" i="13"/>
  <c r="H7" i="13"/>
  <c r="H8" i="13"/>
  <c r="F6" i="13"/>
  <c r="G9" i="13"/>
  <c r="G8" i="13"/>
  <c r="G7" i="13"/>
  <c r="E2" i="13"/>
  <c r="G2" i="13" s="1"/>
  <c r="E6" i="13"/>
  <c r="G6" i="13" s="1"/>
  <c r="F10" i="13"/>
  <c r="E13" i="13"/>
  <c r="F13" i="13" s="1"/>
  <c r="E5" i="13"/>
  <c r="H5" i="13" s="1"/>
  <c r="F9" i="13"/>
  <c r="E12" i="13"/>
  <c r="H12" i="13" s="1"/>
  <c r="E4" i="13"/>
  <c r="G4" i="13" s="1"/>
  <c r="F8" i="13"/>
  <c r="E11" i="13"/>
  <c r="F11" i="13" s="1"/>
  <c r="E3" i="13"/>
  <c r="H3" i="13" s="1"/>
  <c r="F7" i="13"/>
  <c r="B14" i="9"/>
  <c r="C7" i="9"/>
  <c r="H13" i="13" l="1"/>
  <c r="F4" i="13"/>
  <c r="G12" i="13"/>
  <c r="F12" i="13"/>
  <c r="H4" i="13"/>
  <c r="H2" i="13"/>
  <c r="G5" i="13"/>
  <c r="F5" i="13"/>
  <c r="F2" i="13"/>
  <c r="G13" i="13"/>
  <c r="G3" i="13"/>
  <c r="H6" i="13"/>
  <c r="H11" i="13"/>
  <c r="G11" i="13"/>
  <c r="F3" i="13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<sst xmlns="http://schemas.openxmlformats.org/spreadsheetml/2006/main" count="33048" uniqueCount="8419">
  <si>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</si>
  <si>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</si>
  <si>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</si>
  <si>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</si>
  <si>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</si>
  <si>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</si>
  <si>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</si>
  <si>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</si>
  <si>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</si>
  <si>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</si>
  <si>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</si>
  <si>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</si>
  <si>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</si>
  <si>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</si>
  <si>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</si>
  <si>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</si>
  <si>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</si>
  <si>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</si>
  <si>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</si>
  <si>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</si>
  <si>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</si>
  <si>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</si>
  <si>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</si>
  <si>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</si>
  <si>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</si>
  <si>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</si>
  <si>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</si>
  <si>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</si>
  <si>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</si>
  <si>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</si>
  <si>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</si>
  <si>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</si>
  <si>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</si>
  <si>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</si>
  <si>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</si>
  <si>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</si>
  <si>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</si>
  <si>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</si>
  <si>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</si>
  <si>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</si>
  <si>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</si>
  <si>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</si>
  <si>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</si>
  <si>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</si>
  <si>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</si>
  <si>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</si>
  <si>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</si>
  <si>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</si>
  <si>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</si>
  <si>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</si>
  <si>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</si>
  <si>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</si>
  <si>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</si>
  <si>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</si>
  <si>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</si>
  <si>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</si>
  <si>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</si>
  <si>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</si>
  <si>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</si>
  <si>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</si>
  <si>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</si>
  <si>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</si>
  <si>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</si>
  <si>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</si>
  <si>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</si>
  <si>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</si>
  <si>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</si>
  <si>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</si>
  <si>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</si>
  <si>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</si>
  <si>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</si>
  <si>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</si>
  <si>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</si>
  <si>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</si>
  <si>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</si>
  <si>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</si>
  <si>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</si>
  <si>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</si>
  <si>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</si>
  <si>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</si>
  <si>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</si>
  <si>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</si>
  <si>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</si>
  <si>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</si>
  <si>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</si>
  <si>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</si>
  <si>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</si>
  <si>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</si>
  <si>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</si>
  <si>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</si>
  <si>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</si>
  <si>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</si>
  <si>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</si>
  <si>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</si>
  <si>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</si>
  <si>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</si>
  <si>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</si>
  <si>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</si>
  <si>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</si>
  <si>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</si>
  <si>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</si>
  <si>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</si>
  <si>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</si>
  <si>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</si>
  <si>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</si>
  <si>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</si>
  <si>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</si>
  <si>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</si>
  <si>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</si>
  <si>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</si>
  <si>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</si>
  <si>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</si>
  <si>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</si>
  <si>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</si>
  <si>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</si>
  <si>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</si>
  <si>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</si>
  <si>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</si>
  <si>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</si>
  <si>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</si>
  <si>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</si>
  <si>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</si>
  <si>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</si>
  <si>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</si>
  <si>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</si>
  <si>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</si>
  <si>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</si>
  <si>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</si>
  <si>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</si>
  <si>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</si>
  <si>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</si>
  <si>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</si>
  <si>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</si>
  <si>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</si>
  <si>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</si>
  <si>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</si>
  <si>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</si>
  <si>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</si>
  <si>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</si>
  <si>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</si>
  <si>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</si>
  <si>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</si>
  <si>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</si>
  <si>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</si>
  <si>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</si>
  <si>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</si>
  <si>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</si>
  <si>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</si>
  <si>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</si>
  <si>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</si>
  <si>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</si>
  <si>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</si>
  <si>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</si>
  <si>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</si>
  <si>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</si>
  <si>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</si>
  <si>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</si>
  <si>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</si>
  <si>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</si>
  <si>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</si>
  <si>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</si>
  <si>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</si>
  <si>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</si>
  <si>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</si>
  <si>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</si>
  <si>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</si>
  <si>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</si>
  <si>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</si>
  <si>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</si>
  <si>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</si>
  <si>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</si>
  <si>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</si>
  <si>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</si>
  <si>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</si>
  <si>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</si>
  <si>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</si>
  <si>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</si>
  <si>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</si>
  <si>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</si>
  <si>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</si>
  <si>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</si>
  <si>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</si>
  <si>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</si>
  <si>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</si>
  <si>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</si>
  <si>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</si>
  <si>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</si>
  <si>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</si>
  <si>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</si>
  <si>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</si>
  <si>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</si>
  <si>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</si>
  <si>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</si>
  <si>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</si>
  <si>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</si>
  <si>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</si>
  <si>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</si>
  <si>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</si>
  <si>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</si>
  <si>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</si>
  <si>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</si>
  <si>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</si>
  <si>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</si>
  <si>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</si>
  <si>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</si>
  <si>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</si>
  <si>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</si>
  <si>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</si>
  <si>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</si>
  <si>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</si>
  <si>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</si>
  <si>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</si>
  <si>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</si>
  <si>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</si>
  <si>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</si>
  <si>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</si>
  <si>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</si>
  <si>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</si>
  <si>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</si>
  <si>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</si>
  <si>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</si>
  <si>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</si>
  <si>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</si>
  <si>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</si>
  <si>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</si>
  <si>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</si>
  <si>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</si>
  <si>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</si>
  <si>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</si>
  <si>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</si>
  <si>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</si>
  <si>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</si>
  <si>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</si>
  <si>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</si>
  <si>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</si>
  <si>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</si>
  <si>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</si>
  <si>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</si>
  <si>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</si>
  <si>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</si>
  <si>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</si>
  <si>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</si>
  <si>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</si>
  <si>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</si>
  <si>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</si>
  <si>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</si>
  <si>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</si>
  <si>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</si>
  <si>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</si>
  <si>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</si>
  <si>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</si>
  <si>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</si>
  <si>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</si>
  <si>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</si>
  <si>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</si>
  <si>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</si>
  <si>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</si>
  <si>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</si>
  <si>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</si>
  <si>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</si>
  <si>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</si>
  <si>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</si>
  <si>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</si>
  <si>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</si>
  <si>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</si>
  <si>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</si>
  <si>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</si>
  <si>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</si>
  <si>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</si>
  <si>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</si>
  <si>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</si>
  <si>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</si>
  <si>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</si>
  <si>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</si>
  <si>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</si>
  <si>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</si>
  <si>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</si>
  <si>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</si>
  <si>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</si>
  <si>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</si>
  <si>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</si>
  <si>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</si>
  <si>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</si>
  <si>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</si>
  <si>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</si>
  <si>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</si>
  <si>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</si>
  <si>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</si>
  <si>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</si>
  <si>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</si>
  <si>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</si>
  <si>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</si>
  <si>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</si>
  <si>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</si>
  <si>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</si>
  <si>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</si>
  <si>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</si>
  <si>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</si>
  <si>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</si>
  <si>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</si>
  <si>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</si>
  <si>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</si>
  <si>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</si>
  <si>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</si>
  <si>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</si>
  <si>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</si>
  <si>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</si>
  <si>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</si>
  <si>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</si>
  <si>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</si>
  <si>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</si>
  <si>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</si>
  <si>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</si>
  <si>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</si>
  <si>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</si>
  <si>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</si>
  <si>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</si>
  <si>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</si>
  <si>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</si>
  <si>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</si>
  <si>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</si>
  <si>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</si>
  <si>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</si>
  <si>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</si>
  <si>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</si>
  <si>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</si>
  <si>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</si>
  <si>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</si>
  <si>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</si>
  <si>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</si>
  <si>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</si>
  <si>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</si>
  <si>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</si>
  <si>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</si>
  <si>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</si>
  <si>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</si>
  <si>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</si>
  <si>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</si>
  <si>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</si>
  <si>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</si>
  <si>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</si>
  <si>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</si>
  <si>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</si>
  <si>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</si>
  <si>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</si>
  <si>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</si>
  <si>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</si>
  <si>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</si>
  <si>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</si>
  <si>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</si>
  <si>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</si>
  <si>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</si>
  <si>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</si>
  <si>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</si>
  <si>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</si>
  <si>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</si>
  <si>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</si>
  <si>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</si>
  <si>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</si>
  <si>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</si>
  <si>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</si>
  <si>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</si>
  <si>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</si>
  <si>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</si>
  <si>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</si>
  <si>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</si>
  <si>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</si>
  <si>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</si>
  <si>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</si>
  <si>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</si>
  <si>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</si>
  <si>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</si>
  <si>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</si>
  <si>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</si>
  <si>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</si>
  <si>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</si>
  <si>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</si>
  <si>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</si>
  <si>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</si>
  <si>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</si>
  <si>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</si>
  <si>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</si>
  <si>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</si>
  <si>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</si>
  <si>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</si>
  <si>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</si>
  <si>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</si>
  <si>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</si>
  <si>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</si>
  <si>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</si>
  <si>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</si>
  <si>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</si>
  <si>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</si>
  <si>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</si>
  <si>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</si>
  <si>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</si>
  <si>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</si>
  <si>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</si>
  <si>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</si>
  <si>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</si>
  <si>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</si>
  <si>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</si>
  <si>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</si>
  <si>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</si>
  <si>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</si>
  <si>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</si>
  <si>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</si>
  <si>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</si>
  <si>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</si>
  <si>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</si>
  <si>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</si>
  <si>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</si>
  <si>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</si>
  <si>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</si>
  <si>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</si>
  <si>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</si>
  <si>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</si>
  <si>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</si>
  <si>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</si>
  <si>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</si>
  <si>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</si>
  <si>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</si>
  <si>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</si>
  <si>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</si>
  <si>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</si>
  <si>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</si>
  <si>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</si>
  <si>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</si>
  <si>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</si>
  <si>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</si>
  <si>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</si>
  <si>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</si>
  <si>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</si>
  <si>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</si>
  <si>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</si>
  <si>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</si>
  <si>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</si>
  <si>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</si>
  <si>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</si>
  <si>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</si>
  <si>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</si>
  <si>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</si>
  <si>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</si>
  <si>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</si>
  <si>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</si>
  <si>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</si>
  <si>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</si>
  <si>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</si>
  <si>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</si>
  <si>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</si>
  <si>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</si>
  <si>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</si>
  <si>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</si>
  <si>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</si>
  <si>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</si>
  <si>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</si>
  <si>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</si>
  <si>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</si>
  <si>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</si>
  <si>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</si>
  <si>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</si>
  <si>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</si>
  <si>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</si>
  <si>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</si>
  <si>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</si>
  <si>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</si>
  <si>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</si>
  <si>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</si>
  <si>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</si>
  <si>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</si>
  <si>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</si>
  <si>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</si>
  <si>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</si>
  <si>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</si>
  <si>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</si>
  <si>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</si>
  <si>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</si>
  <si>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</si>
  <si>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</si>
  <si>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</si>
  <si>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</si>
  <si>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</si>
  <si>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</si>
  <si>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</si>
  <si>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</si>
  <si>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</si>
  <si>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</si>
  <si>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</si>
  <si>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</si>
  <si>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</si>
  <si>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</si>
  <si>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</si>
  <si>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</si>
  <si>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</si>
  <si>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</si>
  <si>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</si>
  <si>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</si>
  <si>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</si>
  <si>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</si>
  <si>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</si>
  <si>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</si>
  <si>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</si>
  <si>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</si>
  <si>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</si>
  <si>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</si>
  <si>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</si>
  <si>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</si>
  <si>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</si>
  <si>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</si>
  <si>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</si>
  <si>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</si>
  <si>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</si>
  <si>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</si>
  <si>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</si>
  <si>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</si>
  <si>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</si>
  <si>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</si>
  <si>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</si>
  <si>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</si>
  <si>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</si>
  <si>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</si>
  <si>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</si>
  <si>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</si>
  <si>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</si>
  <si>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</si>
  <si>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</si>
  <si>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</si>
  <si>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</si>
  <si>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</si>
  <si>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</si>
  <si>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</si>
  <si>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</si>
  <si>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</si>
  <si>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</si>
  <si>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</si>
  <si>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</si>
  <si>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</si>
  <si>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</si>
  <si>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</si>
  <si>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</si>
  <si>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</si>
  <si>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</si>
  <si>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</si>
  <si>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</si>
  <si>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</si>
  <si>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</si>
  <si>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</si>
  <si>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</si>
  <si>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</si>
  <si>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</si>
  <si>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</si>
  <si>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</si>
  <si>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</si>
  <si>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</si>
  <si>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</si>
  <si>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</si>
  <si>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</si>
  <si>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</si>
  <si>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</si>
  <si>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</si>
  <si>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</si>
  <si>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</si>
  <si>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</si>
  <si>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</si>
  <si>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</si>
  <si>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</si>
  <si>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</si>
  <si>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</si>
  <si>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</si>
  <si>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</si>
  <si>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</si>
  <si>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</si>
  <si>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</si>
  <si>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</si>
  <si>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</si>
  <si>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</si>
  <si>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</si>
  <si>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</si>
  <si>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</si>
  <si>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</si>
  <si>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</si>
  <si>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</si>
  <si>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</si>
  <si>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</si>
  <si>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</si>
  <si>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</si>
  <si>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</si>
  <si>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</si>
  <si>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</si>
  <si>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</si>
  <si>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</si>
  <si>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</si>
  <si>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</si>
  <si>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</si>
  <si>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</si>
  <si>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</si>
  <si>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</si>
  <si>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</si>
  <si>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</si>
  <si>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</si>
  <si>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</si>
  <si>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</si>
  <si>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</si>
  <si>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</si>
  <si>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</si>
  <si>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</si>
  <si>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</si>
  <si>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</si>
  <si>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</si>
  <si>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</si>
  <si>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</si>
  <si>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</si>
  <si>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</si>
  <si>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</si>
  <si>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</si>
  <si>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</si>
  <si>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</si>
  <si>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</si>
  <si>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</si>
  <si>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</si>
  <si>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</si>
  <si>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</si>
  <si>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</si>
  <si>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</si>
  <si>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</si>
  <si>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</si>
  <si>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</si>
  <si>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</si>
  <si>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</si>
  <si>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</si>
  <si>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</si>
  <si>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</si>
  <si>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</si>
  <si>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</si>
  <si>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</si>
  <si>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</si>
  <si>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</si>
  <si>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</si>
  <si>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</si>
  <si>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</si>
  <si>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</si>
  <si>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</si>
  <si>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</si>
  <si>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</si>
  <si>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</si>
  <si>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</si>
  <si>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</si>
  <si>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</si>
  <si>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</si>
  <si>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</si>
  <si>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</si>
  <si>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</si>
  <si>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</si>
  <si>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</si>
  <si>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</si>
  <si>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</si>
  <si>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</si>
  <si>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</si>
  <si>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</si>
  <si>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</si>
  <si>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</si>
  <si>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</si>
  <si>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</si>
  <si>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</si>
  <si>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</si>
  <si>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</si>
  <si>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</si>
  <si>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</si>
  <si>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</si>
  <si>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</si>
  <si>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</si>
  <si>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</si>
  <si>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</si>
  <si>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</si>
  <si>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</si>
  <si>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</si>
  <si>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</si>
  <si>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</si>
  <si>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</si>
  <si>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</si>
  <si>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</si>
  <si>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</si>
  <si>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</si>
  <si>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</si>
  <si>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</si>
  <si>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</si>
  <si>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</si>
  <si>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</si>
  <si>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</si>
  <si>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</si>
  <si>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</si>
  <si>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</si>
  <si>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</si>
  <si>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</si>
  <si>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</si>
  <si>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</si>
  <si>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</si>
  <si>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</si>
  <si>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</si>
  <si>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</si>
  <si>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</si>
  <si>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</si>
  <si>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</si>
  <si>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</si>
  <si>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</si>
  <si>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</si>
  <si>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</si>
  <si>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</si>
  <si>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</si>
  <si>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</si>
  <si>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</si>
  <si>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</si>
  <si>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</si>
  <si>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</si>
  <si>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</si>
  <si>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</si>
  <si>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</si>
  <si>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</si>
  <si>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</si>
  <si>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</si>
  <si>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</si>
  <si>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</si>
  <si>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</si>
  <si>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</si>
  <si>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</si>
  <si>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</si>
  <si>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</si>
  <si>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</si>
  <si>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</si>
  <si>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</si>
  <si>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</si>
  <si>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</si>
  <si>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</si>
  <si>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</si>
  <si>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</si>
  <si>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</si>
  <si>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</si>
  <si>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</si>
  <si>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</si>
  <si>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</si>
  <si>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</si>
  <si>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</si>
  <si>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</si>
  <si>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</si>
  <si>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</si>
  <si>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</si>
  <si>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</si>
  <si>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</si>
  <si>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</si>
  <si>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</si>
  <si>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</si>
  <si>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</si>
  <si>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</si>
  <si>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</si>
  <si>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</si>
  <si>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</si>
  <si>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</si>
  <si>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</si>
  <si>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</si>
  <si>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</si>
  <si>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</si>
  <si>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</si>
  <si>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</si>
  <si>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</si>
  <si>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</si>
  <si>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</si>
  <si>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</si>
  <si>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</si>
  <si>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</si>
  <si>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</si>
  <si>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</si>
  <si>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</si>
  <si>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</si>
  <si>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</si>
  <si>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</si>
  <si>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</si>
  <si>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</si>
  <si>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</si>
  <si>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</si>
  <si>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</si>
  <si>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</si>
  <si>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</si>
  <si>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</si>
  <si>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</si>
  <si>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</si>
  <si>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</si>
  <si>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</si>
  <si>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</si>
  <si>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</si>
  <si>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</si>
  <si>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</si>
  <si>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</si>
  <si>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</si>
  <si>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</si>
  <si>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</si>
  <si>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</si>
  <si>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</si>
  <si>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</si>
  <si>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</si>
  <si>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</si>
  <si>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</si>
  <si>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</si>
  <si>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</si>
  <si>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</si>
  <si>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</si>
  <si>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</si>
  <si>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</si>
  <si>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</si>
  <si>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</si>
  <si>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</si>
  <si>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</si>
  <si>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</si>
  <si>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</si>
  <si>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</si>
  <si>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</si>
  <si>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</si>
  <si>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</si>
  <si>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</si>
  <si>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</si>
  <si>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</si>
  <si>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</si>
  <si>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</si>
  <si>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</si>
  <si>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</si>
  <si>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</si>
  <si>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</si>
  <si>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</si>
  <si>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</si>
  <si>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</si>
  <si>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</si>
  <si>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</si>
  <si>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</si>
  <si>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</si>
  <si>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</si>
  <si>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</si>
  <si>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</si>
  <si>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</si>
  <si>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</si>
  <si>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</si>
  <si>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</si>
  <si>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</si>
  <si>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</si>
  <si>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</si>
  <si>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</si>
  <si>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</si>
  <si>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</si>
  <si>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</si>
  <si>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</si>
  <si>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</si>
  <si>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</si>
  <si>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</si>
  <si>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</si>
  <si>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</si>
  <si>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</si>
  <si>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</si>
  <si>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</si>
  <si>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</si>
  <si>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</si>
  <si>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</si>
  <si>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</si>
  <si>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</si>
  <si>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</si>
  <si>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</si>
  <si>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</si>
  <si>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</si>
  <si>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</si>
  <si>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</si>
  <si>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</si>
  <si>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</si>
  <si>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</si>
  <si>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</si>
  <si>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</si>
  <si>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</si>
  <si>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</si>
  <si>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</si>
  <si>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</si>
  <si>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</si>
  <si>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</si>
  <si>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</si>
  <si>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</si>
  <si>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</si>
  <si>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</si>
  <si>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</si>
  <si>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</si>
  <si>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</si>
  <si>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</si>
  <si>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</si>
  <si>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</si>
  <si>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</si>
  <si>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</si>
  <si>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</si>
  <si>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</si>
  <si>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</si>
  <si>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</si>
  <si>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</si>
  <si>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</si>
  <si>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</si>
  <si>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</si>
  <si>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</si>
  <si>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</si>
  <si>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</si>
  <si>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</si>
  <si>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</si>
  <si>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</si>
  <si>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</si>
  <si>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</si>
  <si>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</si>
  <si>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</si>
  <si>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</si>
  <si>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</si>
  <si>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</si>
  <si>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</si>
  <si>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</si>
  <si>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</si>
  <si>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</si>
  <si>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</si>
  <si>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</si>
  <si>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</si>
  <si>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</si>
  <si>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</si>
  <si>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</si>
  <si>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</si>
  <si>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</si>
  <si>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</si>
  <si>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</si>
  <si>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</si>
  <si>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</si>
  <si>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</si>
  <si>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</si>
  <si>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</si>
  <si>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</si>
  <si>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</si>
  <si>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</si>
  <si>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</si>
  <si>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</si>
  <si>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</si>
  <si>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</si>
  <si>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</si>
  <si>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</si>
  <si>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</si>
  <si>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</si>
  <si>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</si>
  <si>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</si>
  <si>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</si>
  <si>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</si>
  <si>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</si>
  <si>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</si>
  <si>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</si>
  <si>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</si>
  <si>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</si>
  <si>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</si>
  <si>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</si>
  <si>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</si>
  <si>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</si>
  <si>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</si>
  <si>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</si>
  <si>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</si>
  <si>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</si>
  <si>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</si>
  <si>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</si>
  <si>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</si>
  <si>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</si>
  <si>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</si>
  <si>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</si>
  <si>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</si>
  <si>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</si>
  <si>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</si>
  <si>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</si>
  <si>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</si>
  <si>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</si>
  <si>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</si>
  <si>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</si>
  <si>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</si>
  <si>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</si>
  <si>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</si>
  <si>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</si>
  <si>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</si>
  <si>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</si>
  <si>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</si>
  <si>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</si>
  <si>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</si>
  <si>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</si>
  <si>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</si>
  <si>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</si>
  <si>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</si>
  <si>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</si>
  <si>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</si>
  <si>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</si>
  <si>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</si>
  <si>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</si>
  <si>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</si>
  <si>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</si>
  <si>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</si>
  <si>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</si>
  <si>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</si>
  <si>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</si>
  <si>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</si>
  <si>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</si>
  <si>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</si>
  <si>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</si>
  <si>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</si>
  <si>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</si>
  <si>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</si>
  <si>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</si>
  <si>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</si>
  <si>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</si>
  <si>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</si>
  <si>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</si>
  <si>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</si>
  <si>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</si>
  <si>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</si>
  <si>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</si>
  <si>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</si>
  <si>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</si>
  <si>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</si>
  <si>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</si>
  <si>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</si>
  <si>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</si>
  <si>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</si>
  <si>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</si>
  <si>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</si>
  <si>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</si>
  <si>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</si>
  <si>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</si>
  <si>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</si>
  <si>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</si>
  <si>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</si>
  <si>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</si>
  <si>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</si>
  <si>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</si>
  <si>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</si>
  <si>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</si>
  <si>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</si>
  <si>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</si>
  <si>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</si>
  <si>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</si>
  <si>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</si>
  <si>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</si>
  <si>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</si>
  <si>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</si>
  <si>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</si>
  <si>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</si>
  <si>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</si>
  <si>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</si>
  <si>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</si>
  <si>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</si>
  <si>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</si>
  <si>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</si>
  <si>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</si>
  <si>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</si>
  <si>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</si>
  <si>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</si>
  <si>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</si>
  <si>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</si>
  <si>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</si>
  <si>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</si>
  <si>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</si>
  <si>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</si>
  <si>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</si>
  <si>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</si>
  <si>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</si>
  <si>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</si>
  <si>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</si>
  <si>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</si>
  <si>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</si>
  <si>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</si>
  <si>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</si>
  <si>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</si>
  <si>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</si>
  <si>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</si>
  <si>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</si>
  <si>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</si>
  <si>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</si>
  <si>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</si>
  <si>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</si>
  <si>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</si>
  <si>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</si>
  <si>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</si>
  <si>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</si>
  <si>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</si>
  <si>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</si>
  <si>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</si>
  <si>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</si>
  <si>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</si>
  <si>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</si>
  <si>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</si>
  <si>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</si>
  <si>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</si>
  <si>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</si>
  <si>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</si>
  <si>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</si>
  <si>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</si>
  <si>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</si>
  <si>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</si>
  <si>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</si>
  <si>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</si>
  <si>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</si>
  <si>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</si>
  <si>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</si>
  <si>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</si>
  <si>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</si>
  <si>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</si>
  <si>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</si>
  <si>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</si>
  <si>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</si>
  <si>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</si>
  <si>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</si>
  <si>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</si>
  <si>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</si>
  <si>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</si>
  <si>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</si>
  <si>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</si>
  <si>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</si>
  <si>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</si>
  <si>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</si>
  <si>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</si>
  <si>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</si>
  <si>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</si>
  <si>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</si>
  <si>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</si>
  <si>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</si>
  <si>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</si>
  <si>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</si>
  <si>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</si>
  <si>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</si>
  <si>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</si>
  <si>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</si>
  <si>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</si>
  <si>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</si>
  <si>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</si>
  <si>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</si>
  <si>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</si>
  <si>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</si>
  <si>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</si>
  <si>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</si>
  <si>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</si>
  <si>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</si>
  <si>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</si>
  <si>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</si>
  <si>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</si>
  <si>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</si>
  <si>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</si>
  <si>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</si>
  <si>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</si>
  <si>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</si>
  <si>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</si>
  <si>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</si>
  <si>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</si>
  <si>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</si>
  <si>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</si>
  <si>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</si>
  <si>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</si>
  <si>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</si>
  <si>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</si>
  <si>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</si>
  <si>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</si>
  <si>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</si>
  <si>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</si>
  <si>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</si>
  <si>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</si>
  <si>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</si>
  <si>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</si>
  <si>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</si>
  <si>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</si>
  <si>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</si>
  <si>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</si>
  <si>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</si>
  <si>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</si>
  <si>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</si>
  <si>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</si>
  <si>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</si>
  <si>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</si>
  <si>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</si>
  <si>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</si>
  <si>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</si>
  <si>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</si>
  <si>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</si>
  <si>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</si>
  <si>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</si>
  <si>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</si>
  <si>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</si>
  <si>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</si>
  <si>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</si>
  <si>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</si>
  <si>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</si>
  <si>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</si>
  <si>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</si>
  <si>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</si>
  <si>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</si>
  <si>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</si>
  <si>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</si>
  <si>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</si>
  <si>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</si>
  <si>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</si>
  <si>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</si>
  <si>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</si>
  <si>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</si>
  <si>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</si>
  <si>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</si>
  <si>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</si>
  <si>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</si>
  <si>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</si>
  <si>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</si>
  <si>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</si>
  <si>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</si>
  <si>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</si>
  <si>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</si>
  <si>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</si>
  <si>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</si>
  <si>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</si>
  <si>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</si>
  <si>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</si>
  <si>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</si>
  <si>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</si>
  <si>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</si>
  <si>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</si>
  <si>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</si>
  <si>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</si>
  <si>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</si>
  <si>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</si>
  <si>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</si>
  <si>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</si>
  <si>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</si>
  <si>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</si>
  <si>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</si>
  <si>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</si>
  <si>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</si>
  <si>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</si>
  <si>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</si>
  <si>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</si>
  <si>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</si>
  <si>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</si>
  <si>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</si>
  <si>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</si>
  <si>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</si>
  <si>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</si>
  <si>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</si>
  <si>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</si>
  <si>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</si>
  <si>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</si>
  <si>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</si>
  <si>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</si>
  <si>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</si>
  <si>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</si>
  <si>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</si>
  <si>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</si>
  <si>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</si>
  <si>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</si>
  <si>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</si>
  <si>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</si>
  <si>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</si>
  <si>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</si>
  <si>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</si>
  <si>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</si>
  <si>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</si>
  <si>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</si>
  <si>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</si>
  <si>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</si>
  <si>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</si>
  <si>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</si>
  <si>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</si>
  <si>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</si>
  <si>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</si>
  <si>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</si>
  <si>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</si>
  <si>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</si>
  <si>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</si>
  <si>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</si>
  <si>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</si>
  <si>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</si>
  <si>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</si>
  <si>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</si>
  <si>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</si>
  <si>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</si>
  <si>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</si>
  <si>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</si>
  <si>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</si>
  <si>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</si>
  <si>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</si>
  <si>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</si>
  <si>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</si>
  <si>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</si>
  <si>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</si>
  <si>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</si>
  <si>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</si>
  <si>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</si>
  <si>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</si>
  <si>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</si>
  <si>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</si>
  <si>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</si>
  <si>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</si>
  <si>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</si>
  <si>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</si>
  <si>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</si>
  <si>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</si>
  <si>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</si>
  <si>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</si>
  <si>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</si>
  <si>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</si>
  <si>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</si>
  <si>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</si>
  <si>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</si>
  <si>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</si>
  <si>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</si>
  <si>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</si>
  <si>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</si>
  <si>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</si>
  <si>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</si>
  <si>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</si>
  <si>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</si>
  <si>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</si>
  <si>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</si>
  <si>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</si>
  <si>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</si>
  <si>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</si>
  <si>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</si>
  <si>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</si>
  <si>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</si>
  <si>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</si>
  <si>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</si>
  <si>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</si>
  <si>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</si>
  <si>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</si>
  <si>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</si>
  <si>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</si>
  <si>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</si>
  <si>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</si>
  <si>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</si>
  <si>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</si>
  <si>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</si>
  <si>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</si>
  <si>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</si>
  <si>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</si>
  <si>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</si>
  <si>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</si>
  <si>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</si>
  <si>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</si>
  <si>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</si>
  <si>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</si>
  <si>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</si>
  <si>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</si>
  <si>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</si>
  <si>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</si>
  <si>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</si>
  <si>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</si>
  <si>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</si>
  <si>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</si>
  <si>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</si>
  <si>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</si>
  <si>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</si>
  <si>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</si>
  <si>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</si>
  <si>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</si>
  <si>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</si>
  <si>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</si>
  <si>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</si>
  <si>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</si>
  <si>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</si>
  <si>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</si>
  <si>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</si>
  <si>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</si>
  <si>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</si>
  <si>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</si>
  <si>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</si>
  <si>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</si>
  <si>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</si>
  <si>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</si>
  <si>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</si>
  <si>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</si>
  <si>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</si>
  <si>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</si>
  <si>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</si>
  <si>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</si>
  <si>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</si>
  <si>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</si>
  <si>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</si>
  <si>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</si>
  <si>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</si>
  <si>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</si>
  <si>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</si>
  <si>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</si>
  <si>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</si>
  <si>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</si>
  <si>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</si>
  <si>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</si>
  <si>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</si>
  <si>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</si>
  <si>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</si>
  <si>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</si>
  <si>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</si>
  <si>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</si>
  <si>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</si>
  <si>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</si>
  <si>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</si>
  <si>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</si>
  <si>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</si>
  <si>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</si>
  <si>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</si>
  <si>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</si>
  <si>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</si>
  <si>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</si>
  <si>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</si>
  <si>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</si>
  <si>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</si>
  <si>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</si>
  <si>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</si>
  <si>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</si>
  <si>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</si>
  <si>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</si>
  <si>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</si>
  <si>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</si>
  <si>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</si>
  <si>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</si>
  <si>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</si>
  <si>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</si>
  <si>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</si>
  <si>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</si>
  <si>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</si>
  <si>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</si>
  <si>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</si>
  <si>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</si>
  <si>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</si>
  <si>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</si>
  <si>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</si>
  <si>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</si>
  <si>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</si>
  <si>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</si>
  <si>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</si>
  <si>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</si>
  <si>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</si>
  <si>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</si>
  <si>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</si>
  <si>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</si>
  <si>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</si>
  <si>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</si>
  <si>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</si>
  <si>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</si>
  <si>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</si>
  <si>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</si>
  <si>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</si>
  <si>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</si>
  <si>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</si>
  <si>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</si>
  <si>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</si>
  <si>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</si>
  <si>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</si>
  <si>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</si>
  <si>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</si>
  <si>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</si>
  <si>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</si>
  <si>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</si>
  <si>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</si>
  <si>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</si>
  <si>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</si>
  <si>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</si>
  <si>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</si>
  <si>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</si>
  <si>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</si>
  <si>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</si>
  <si>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</si>
  <si>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</si>
  <si>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</si>
  <si>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</si>
  <si>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</si>
  <si>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</si>
  <si>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</si>
  <si>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</si>
  <si>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</si>
  <si>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</si>
  <si>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</si>
  <si>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</si>
  <si>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</si>
  <si>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</si>
  <si>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</si>
  <si>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</si>
  <si>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</si>
  <si>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</si>
  <si>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</si>
  <si>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</si>
  <si>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</si>
  <si>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</si>
  <si>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</si>
  <si>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</si>
  <si>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</si>
  <si>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</si>
  <si>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</si>
  <si>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</si>
  <si>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</si>
  <si>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</si>
  <si>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</si>
  <si>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</si>
  <si>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</si>
  <si>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</si>
  <si>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</si>
  <si>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</si>
  <si>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</si>
  <si>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</si>
  <si>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</si>
  <si>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</si>
  <si>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</si>
  <si>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</si>
  <si>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</si>
  <si>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</si>
  <si>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</si>
  <si>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</si>
  <si>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</si>
  <si>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</si>
  <si>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</si>
  <si>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</si>
  <si>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</si>
  <si>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</si>
  <si>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</si>
  <si>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</si>
  <si>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</si>
  <si>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</si>
  <si>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</si>
  <si>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</si>
  <si>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</si>
  <si>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</si>
  <si>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</si>
  <si>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</si>
  <si>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</si>
  <si>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</si>
  <si>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</si>
  <si>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</si>
  <si>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</si>
  <si>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</si>
  <si>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</si>
  <si>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</si>
  <si>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</si>
  <si>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</si>
  <si>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</si>
  <si>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</si>
  <si>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</si>
  <si>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</si>
  <si>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</si>
  <si>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</si>
  <si>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</si>
  <si>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</si>
  <si>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</si>
  <si>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</si>
  <si>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</si>
  <si>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</si>
  <si>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</si>
  <si>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</si>
  <si>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</si>
  <si>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</si>
  <si>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</si>
  <si>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</si>
  <si>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</si>
  <si>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</si>
  <si>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</si>
  <si>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</si>
  <si>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</si>
  <si>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</si>
  <si>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</si>
  <si>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</si>
  <si>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</si>
  <si>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</si>
  <si>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</si>
  <si>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</si>
  <si>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</si>
  <si>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</si>
  <si>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</si>
  <si>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</si>
  <si>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</si>
  <si>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</si>
  <si>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</si>
  <si>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</si>
  <si>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</si>
  <si>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</si>
  <si>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</si>
  <si>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</si>
  <si>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</si>
  <si>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</si>
  <si>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</si>
  <si>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</si>
  <si>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</si>
  <si>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</si>
  <si>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</si>
  <si>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</si>
  <si>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</si>
  <si>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</si>
  <si>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</si>
  <si>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</si>
  <si>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</si>
  <si>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</si>
  <si>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</si>
  <si>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</si>
  <si>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</si>
  <si>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</si>
  <si>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</si>
  <si>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</si>
  <si>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</si>
  <si>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</si>
  <si>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</si>
  <si>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</si>
  <si>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</si>
  <si>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</si>
  <si>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</si>
  <si>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</si>
  <si>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</si>
  <si>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</si>
  <si>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</si>
  <si>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</si>
  <si>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</si>
  <si>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</si>
  <si>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</si>
  <si>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</si>
  <si>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</si>
  <si>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</si>
  <si>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</si>
  <si>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</si>
  <si>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</si>
  <si>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</si>
  <si>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</si>
  <si>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</si>
  <si>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</si>
  <si>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</si>
  <si>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</si>
  <si>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</si>
  <si>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</si>
  <si>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</si>
  <si>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</si>
  <si>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</si>
  <si>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</si>
  <si>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</si>
  <si>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</si>
  <si>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</si>
  <si>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</si>
  <si>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</si>
  <si>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</si>
  <si>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</si>
  <si>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</si>
  <si>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</si>
  <si>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</si>
  <si>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</si>
  <si>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</si>
  <si>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</si>
  <si>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</si>
  <si>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</si>
  <si>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</si>
  <si>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</si>
  <si>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</si>
  <si>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</si>
  <si>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</si>
  <si>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</si>
  <si>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</si>
  <si>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</si>
  <si>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</si>
  <si>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</si>
  <si>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</si>
  <si>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</si>
  <si>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</si>
  <si>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</si>
  <si>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</si>
  <si>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</si>
  <si>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</si>
  <si>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</si>
  <si>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</si>
  <si>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</si>
  <si>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</si>
  <si>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</si>
  <si>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</si>
  <si>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</si>
  <si>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</si>
  <si>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</si>
  <si>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</si>
  <si>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</si>
  <si>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</si>
  <si>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</si>
  <si>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</si>
  <si>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</si>
  <si>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</si>
  <si>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</si>
  <si>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</si>
  <si>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</si>
  <si>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</si>
  <si>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</si>
  <si>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</si>
  <si>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</si>
  <si>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</si>
  <si>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</si>
  <si>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</si>
  <si>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</si>
  <si>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</si>
  <si>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</si>
  <si>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</si>
  <si>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</si>
  <si>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</si>
  <si>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</si>
  <si>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</si>
  <si>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</si>
  <si>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</si>
  <si>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</si>
  <si>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</si>
  <si>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</si>
  <si>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</si>
  <si>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</si>
  <si>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</si>
  <si>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</si>
  <si>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</si>
  <si>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</si>
  <si>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</si>
  <si>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</si>
  <si>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</si>
  <si>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</si>
  <si>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</si>
  <si>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</si>
  <si>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</si>
  <si>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</si>
  <si>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</si>
  <si>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</si>
  <si>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</si>
  <si>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</si>
  <si>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</si>
  <si>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</si>
  <si>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</si>
  <si>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</si>
  <si>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</si>
  <si>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</si>
  <si>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</si>
  <si>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</si>
  <si>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</si>
  <si>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</si>
  <si>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</si>
  <si>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</si>
  <si>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</si>
  <si>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</si>
  <si>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</si>
  <si>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</si>
  <si>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</si>
  <si>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</si>
  <si>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</si>
  <si>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</si>
  <si>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</si>
  <si>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</si>
  <si>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</si>
  <si>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</si>
  <si>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</si>
  <si>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</si>
  <si>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</si>
  <si>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</si>
  <si>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</si>
  <si>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</si>
  <si>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</si>
  <si>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</si>
  <si>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</si>
  <si>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</si>
  <si>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</si>
  <si>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</si>
  <si>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</si>
  <si>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</si>
  <si>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</si>
  <si>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</si>
  <si>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</si>
  <si>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</si>
  <si>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</si>
  <si>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</si>
  <si>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</si>
  <si>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</si>
  <si>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</si>
  <si>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</si>
  <si>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</si>
  <si>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</si>
  <si>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</si>
  <si>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</si>
  <si>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</si>
  <si>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</si>
  <si>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</si>
  <si>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</si>
  <si>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</si>
  <si>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</si>
  <si>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</si>
  <si>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</si>
  <si>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</si>
  <si>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</si>
  <si>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</si>
  <si>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</si>
  <si>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</si>
  <si>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</si>
  <si>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</si>
  <si>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</si>
  <si>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</si>
  <si>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</si>
  <si>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</si>
  <si>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</si>
  <si>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</si>
  <si>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</si>
  <si>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</si>
  <si>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</si>
  <si>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</si>
  <si>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</si>
  <si>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</si>
  <si>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</si>
  <si>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</si>
  <si>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</si>
  <si>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</si>
  <si>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</si>
  <si>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</si>
  <si>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</si>
  <si>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</si>
  <si>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</si>
  <si>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</si>
  <si>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</si>
  <si>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</si>
  <si>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</si>
  <si>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</si>
  <si>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</si>
  <si>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</si>
  <si>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</si>
  <si>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</si>
  <si>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</si>
  <si>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</si>
  <si>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</si>
  <si>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</si>
  <si>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</si>
  <si>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</si>
  <si>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</si>
  <si>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</si>
  <si>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</si>
  <si>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</si>
  <si>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</si>
  <si>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</si>
  <si>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</si>
  <si>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</si>
  <si>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</si>
  <si>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</si>
  <si>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</si>
  <si>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</si>
  <si>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</si>
  <si>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</si>
  <si>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</si>
  <si>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</si>
  <si>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</si>
  <si>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</si>
  <si>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</si>
  <si>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</si>
  <si>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</si>
  <si>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</si>
  <si>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</si>
  <si>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</si>
  <si>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</si>
  <si>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</si>
  <si>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</si>
  <si>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</si>
  <si>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</si>
  <si>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</si>
  <si>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</si>
  <si>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</si>
  <si>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</si>
  <si>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</si>
  <si>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</si>
  <si>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</si>
  <si>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</si>
  <si>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</si>
  <si>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</si>
  <si>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</si>
  <si>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</si>
  <si>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</si>
  <si>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</si>
  <si>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</si>
  <si>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</si>
  <si>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</si>
  <si>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</si>
  <si>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</si>
  <si>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</si>
  <si>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</si>
  <si>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</si>
  <si>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</si>
  <si>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</si>
  <si>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</si>
  <si>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</si>
  <si>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</si>
  <si>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</si>
  <si>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</si>
  <si>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</si>
  <si>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</si>
  <si>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</si>
  <si>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</si>
  <si>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</si>
  <si>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</si>
  <si>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</si>
  <si>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</si>
  <si>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</si>
  <si>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</si>
  <si>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</si>
  <si>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</si>
  <si>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</si>
  <si>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</si>
  <si>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</si>
  <si>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</si>
  <si>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</si>
  <si>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</si>
  <si>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</si>
  <si>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</si>
  <si>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</si>
  <si>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</si>
  <si>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</si>
  <si>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</si>
  <si>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</si>
  <si>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</si>
  <si>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</si>
  <si>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</si>
  <si>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</si>
  <si>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</si>
  <si>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</si>
  <si>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</si>
  <si>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</si>
  <si>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</si>
  <si>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</si>
  <si>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</si>
  <si>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</si>
  <si>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</si>
  <si>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</si>
  <si>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</si>
  <si>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</si>
  <si>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</si>
  <si>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</si>
  <si>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</si>
  <si>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</si>
  <si>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</si>
  <si>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</si>
  <si>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</si>
  <si>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</si>
  <si>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</si>
  <si>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</si>
  <si>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</si>
  <si>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</si>
  <si>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</si>
  <si>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</si>
  <si>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</si>
  <si>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</si>
  <si>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</si>
  <si>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</si>
  <si>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</si>
  <si>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</si>
  <si>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</si>
  <si>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</si>
  <si>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</si>
  <si>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</si>
  <si>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</si>
  <si>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</si>
  <si>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</si>
  <si>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</si>
  <si>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</si>
  <si>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</si>
  <si>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</si>
  <si>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</si>
  <si>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</si>
  <si>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</si>
  <si>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</si>
  <si>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</si>
  <si>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</si>
  <si>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</si>
  <si>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</si>
  <si>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</si>
  <si>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</si>
  <si>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</si>
  <si>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</si>
  <si>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</si>
  <si>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</si>
  <si>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</si>
  <si>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</si>
  <si>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</si>
  <si>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</si>
  <si>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</si>
  <si>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</si>
  <si>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</si>
  <si>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</si>
  <si>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</si>
  <si>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</si>
  <si>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</si>
  <si>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</si>
  <si>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</si>
  <si>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</si>
  <si>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</si>
  <si>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</si>
  <si>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</si>
  <si>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</si>
  <si>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</si>
  <si>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</si>
  <si>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</si>
  <si>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</si>
  <si>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</si>
  <si>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</si>
  <si>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</si>
  <si>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</si>
  <si>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</si>
  <si>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</si>
  <si>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</si>
  <si>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</si>
  <si>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</si>
  <si>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</si>
  <si>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</si>
  <si>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</si>
  <si>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</si>
  <si>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</si>
  <si>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</si>
  <si>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</si>
  <si>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</si>
  <si>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</si>
  <si>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</si>
  <si>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</si>
  <si>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</si>
  <si>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</si>
  <si>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</si>
  <si>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</si>
  <si>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</si>
  <si>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</si>
  <si>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</si>
  <si>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</si>
  <si>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</si>
  <si>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</si>
  <si>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</si>
  <si>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</si>
  <si>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</si>
  <si>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</si>
  <si>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</si>
  <si>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</si>
  <si>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</si>
  <si>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</si>
  <si>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</si>
  <si>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</si>
  <si>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</si>
  <si>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</si>
  <si>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</si>
  <si>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</si>
  <si>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</si>
  <si>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</si>
  <si>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</si>
  <si>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</si>
  <si>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</si>
  <si>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</si>
  <si>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</si>
  <si>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</si>
  <si>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</si>
  <si>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</si>
  <si>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</si>
  <si>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</si>
  <si>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</si>
  <si>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</si>
  <si>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</si>
  <si>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</si>
  <si>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</si>
  <si>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</si>
  <si>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</si>
  <si>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</si>
  <si>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</si>
  <si>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</si>
  <si>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</si>
  <si>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</si>
  <si>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</si>
  <si>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</si>
  <si>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</si>
  <si>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</si>
  <si>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</si>
  <si>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</si>
  <si>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</si>
  <si>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</si>
  <si>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</si>
  <si>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</si>
  <si>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</si>
  <si>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</si>
  <si>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</si>
  <si>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</si>
  <si>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</si>
  <si>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</si>
  <si>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</si>
  <si>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</si>
  <si>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</si>
  <si>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</si>
  <si>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</si>
  <si>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</si>
  <si>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</si>
  <si>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</si>
  <si>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</si>
  <si>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</si>
  <si>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</si>
  <si>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</si>
  <si>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</si>
  <si>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</si>
  <si>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</si>
  <si>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</si>
  <si>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</si>
  <si>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</si>
  <si>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</si>
  <si>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</si>
  <si>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</si>
  <si>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</si>
  <si>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</si>
  <si>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</si>
  <si>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</si>
  <si>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</si>
  <si>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</si>
  <si>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</si>
  <si>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</si>
  <si>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</si>
  <si>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</si>
  <si>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</si>
  <si>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</si>
  <si>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</si>
  <si>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</si>
  <si>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</si>
  <si>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</si>
  <si>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</si>
  <si>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</si>
  <si>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</si>
  <si>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</si>
  <si>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</si>
  <si>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</si>
  <si>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</si>
  <si>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</si>
  <si>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</si>
  <si>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</si>
  <si>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</si>
  <si>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</si>
  <si>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</si>
  <si>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</si>
  <si>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</si>
  <si>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</si>
  <si>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</si>
  <si>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</si>
  <si>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</si>
  <si>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</si>
  <si>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</si>
  <si>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</si>
  <si>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</si>
  <si>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</si>
  <si>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</si>
  <si>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</si>
  <si>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</si>
  <si>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</si>
  <si>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</si>
  <si>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</si>
  <si>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</si>
  <si>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</si>
  <si>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</si>
  <si>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</si>
  <si>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</si>
  <si>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</si>
  <si>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</si>
  <si>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</si>
  <si>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</si>
  <si>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</si>
  <si>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</si>
  <si>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</si>
  <si>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</si>
  <si>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</si>
  <si>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</si>
  <si>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</si>
  <si>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</si>
  <si>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</si>
  <si>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</si>
  <si>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</si>
  <si>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</si>
  <si>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</si>
  <si>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</si>
  <si>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</si>
  <si>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</si>
  <si>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</si>
  <si>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</si>
  <si>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</si>
  <si>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</si>
  <si>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</si>
  <si>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</si>
  <si>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</si>
  <si>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</si>
  <si>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</si>
  <si>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</si>
  <si>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</si>
  <si>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</si>
  <si>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</si>
  <si>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</si>
  <si>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</si>
  <si>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</si>
  <si>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</si>
  <si>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</si>
  <si>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</si>
  <si>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</si>
  <si>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</si>
  <si>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</si>
  <si>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</si>
  <si>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</si>
  <si>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</si>
  <si>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</si>
  <si>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</si>
  <si>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</si>
  <si>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</si>
  <si>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</si>
  <si>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</si>
  <si>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</si>
  <si>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</si>
  <si>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</si>
  <si>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</si>
  <si>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</si>
  <si>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</si>
  <si>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</si>
  <si>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</si>
  <si>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</si>
  <si>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</si>
  <si>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</si>
  <si>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</si>
  <si>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</si>
  <si>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</si>
  <si>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</si>
  <si>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</si>
  <si>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</si>
  <si>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</si>
  <si>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</si>
  <si>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</si>
  <si>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</si>
  <si>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</si>
  <si>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</si>
  <si>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</si>
  <si>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</si>
  <si>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</si>
  <si>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</si>
  <si>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</si>
  <si>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</si>
  <si>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</si>
  <si>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</si>
  <si>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</si>
  <si>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</si>
  <si>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</si>
  <si>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</si>
  <si>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</si>
  <si>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</si>
  <si>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</si>
  <si>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</si>
  <si>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</si>
  <si>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</si>
  <si>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</si>
  <si>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</si>
  <si>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</si>
  <si>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</si>
  <si>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</si>
  <si>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</si>
  <si>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</si>
  <si>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</si>
  <si>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</si>
  <si>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</si>
  <si>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</si>
  <si>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</si>
  <si>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</si>
  <si>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</si>
  <si>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</si>
  <si>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</si>
  <si>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</si>
  <si>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</si>
  <si>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</si>
  <si>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</si>
  <si>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</si>
  <si>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</si>
  <si>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</si>
  <si>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</si>
  <si>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</si>
  <si>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</si>
  <si>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</si>
  <si>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</si>
  <si>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</si>
  <si>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</si>
  <si>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</si>
  <si>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</si>
  <si>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</si>
  <si>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</si>
  <si>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</si>
  <si>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</si>
  <si>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</si>
  <si>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</si>
  <si>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</si>
  <si>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</si>
  <si>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</si>
  <si>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</si>
  <si>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</si>
  <si>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</si>
  <si>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</si>
  <si>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</si>
  <si>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</si>
  <si>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</si>
  <si>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</si>
  <si>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</si>
  <si>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</si>
  <si>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</si>
  <si>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</si>
  <si>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</si>
  <si>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</si>
  <si>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</si>
  <si>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</si>
  <si>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</si>
  <si>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</si>
  <si>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</si>
  <si>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</si>
  <si>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</si>
  <si>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</si>
  <si>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</si>
  <si>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</si>
  <si>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</si>
  <si>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</si>
  <si>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</si>
  <si>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</si>
  <si>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</si>
  <si>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</si>
  <si>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</si>
  <si>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</si>
  <si>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</si>
  <si>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</si>
  <si>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</si>
  <si>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</si>
  <si>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</si>
  <si>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</si>
  <si>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</si>
  <si>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</si>
  <si>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</si>
  <si>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</si>
  <si>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</si>
  <si>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</si>
  <si>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</si>
  <si>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</si>
  <si>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</si>
  <si>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</si>
  <si>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</si>
  <si>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</si>
  <si>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</si>
  <si>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</si>
  <si>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</si>
  <si>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</si>
  <si>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</si>
  <si>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</si>
  <si>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</si>
  <si>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</si>
  <si>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</si>
  <si>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</si>
  <si>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</si>
  <si>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</si>
  <si>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</si>
  <si>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</si>
  <si>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</si>
  <si>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</si>
  <si>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</si>
  <si>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</si>
  <si>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</si>
  <si>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</si>
  <si>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</si>
  <si>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</si>
  <si>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</si>
  <si>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</si>
  <si>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</si>
  <si>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</si>
  <si>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</si>
  <si>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</si>
  <si>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</si>
  <si>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</si>
  <si>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</si>
  <si>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</si>
  <si>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</si>
  <si>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</si>
  <si>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</si>
  <si>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</si>
  <si>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</si>
  <si>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</si>
  <si>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</si>
  <si>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</si>
  <si>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</si>
  <si>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</si>
  <si>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</si>
  <si>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</si>
  <si>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</si>
  <si>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</si>
  <si>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</si>
  <si>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</si>
  <si>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</si>
  <si>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</si>
  <si>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</si>
  <si>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</si>
  <si>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</si>
  <si>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</si>
  <si>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</si>
  <si>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</si>
  <si>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</si>
  <si>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</si>
  <si>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</si>
  <si>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</si>
  <si>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</si>
  <si>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</si>
  <si>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</si>
  <si>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</si>
  <si>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</si>
  <si>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</si>
  <si>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</si>
  <si>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</si>
  <si>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</si>
  <si>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</si>
  <si>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</si>
  <si>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</si>
  <si>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</si>
  <si>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</si>
  <si>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</si>
  <si>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</si>
  <si>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</si>
  <si>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</si>
  <si>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</si>
  <si>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</si>
  <si>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</si>
  <si>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</si>
  <si>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</si>
  <si>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</si>
  <si>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</si>
  <si>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</si>
  <si>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</si>
  <si>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</si>
  <si>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</si>
  <si>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</si>
  <si>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</si>
  <si>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</si>
  <si>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</si>
  <si>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</si>
  <si>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</si>
  <si>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</si>
  <si>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</si>
  <si>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</si>
  <si>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</si>
  <si>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</si>
  <si>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</si>
  <si>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</si>
  <si>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</si>
  <si>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</si>
  <si>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</si>
  <si>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</si>
  <si>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</si>
  <si>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</si>
  <si>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</si>
  <si>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</si>
  <si>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</si>
  <si>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</si>
  <si>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</si>
  <si>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</si>
  <si>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</si>
  <si>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</si>
  <si>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</si>
  <si>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</si>
  <si>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</si>
  <si>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</si>
  <si>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</si>
  <si>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</si>
  <si>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</si>
  <si>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</si>
  <si>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</si>
  <si>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</si>
  <si>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</si>
  <si>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</si>
  <si>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</si>
  <si>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</si>
  <si>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</si>
  <si>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</si>
  <si>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</si>
  <si>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</si>
  <si>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</si>
  <si>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</si>
  <si>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</si>
  <si>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</si>
  <si>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</si>
  <si>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</si>
  <si>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</si>
  <si>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</si>
  <si>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</si>
  <si>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</si>
  <si>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</si>
  <si>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</si>
  <si>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</si>
  <si>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</si>
  <si>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</si>
  <si>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</si>
  <si>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</si>
  <si>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</si>
  <si>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</si>
  <si>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</si>
  <si>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</si>
  <si>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</si>
  <si>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</si>
  <si>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</si>
  <si>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</si>
  <si>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</si>
  <si>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</si>
  <si>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</si>
  <si>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</si>
  <si>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</si>
  <si>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</si>
  <si>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</si>
  <si>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</si>
  <si>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</si>
  <si>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</si>
  <si>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</si>
  <si>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</si>
  <si>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</si>
  <si>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</si>
  <si>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</si>
  <si>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</si>
  <si>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</si>
  <si>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</si>
  <si>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</si>
  <si>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</si>
  <si>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</si>
  <si>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</si>
  <si>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</si>
  <si>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</si>
  <si>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</si>
  <si>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</si>
  <si>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</si>
  <si>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</si>
  <si>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</si>
  <si>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</si>
  <si>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</si>
  <si>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</si>
  <si>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</si>
  <si>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</si>
  <si>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</si>
  <si>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</si>
  <si>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</si>
  <si>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</si>
  <si>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</si>
  <si>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</si>
  <si>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</si>
  <si>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</si>
  <si>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</si>
  <si>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</si>
  <si>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</si>
  <si>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</si>
  <si>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</si>
  <si>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</si>
  <si>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</si>
  <si>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</si>
  <si>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</si>
  <si>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</si>
  <si>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</si>
  <si>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</si>
  <si>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</si>
  <si>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</si>
  <si>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</si>
  <si>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</si>
  <si>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</si>
  <si>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</si>
  <si>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</si>
  <si>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</si>
  <si>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</si>
  <si>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</si>
  <si>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</si>
  <si>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</si>
  <si>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</si>
  <si>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</si>
  <si>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</si>
  <si>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</si>
  <si>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</si>
  <si>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</si>
  <si>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</si>
  <si>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</si>
  <si>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</si>
  <si>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</si>
  <si>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</si>
  <si>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</si>
  <si>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</si>
  <si>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</si>
  <si>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</si>
  <si>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</si>
  <si>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</si>
  <si>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</si>
  <si>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</si>
  <si>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</si>
  <si>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</si>
  <si>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</si>
  <si>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</si>
  <si>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</si>
  <si>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</si>
  <si>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</si>
  <si>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</si>
  <si>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</si>
  <si>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</si>
  <si>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</si>
  <si>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</si>
  <si>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</si>
  <si>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</si>
  <si>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</si>
  <si>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</si>
  <si>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</si>
  <si>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</si>
  <si>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</si>
  <si>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</si>
  <si>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</si>
  <si>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</si>
  <si>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</si>
  <si>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</si>
  <si>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</si>
  <si>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</si>
  <si>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</si>
  <si>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</si>
  <si>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</si>
  <si>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</si>
  <si>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</si>
  <si>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</si>
  <si>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</si>
  <si>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</si>
  <si>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</si>
  <si>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</si>
  <si>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</si>
  <si>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</si>
  <si>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</si>
  <si>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</si>
  <si>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</si>
  <si>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</si>
  <si>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</si>
  <si>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</si>
  <si>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</si>
  <si>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</si>
  <si>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</si>
  <si>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</si>
  <si>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</si>
  <si>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</si>
  <si>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</si>
  <si>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</si>
  <si>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</si>
  <si>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</si>
  <si>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</si>
  <si>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</si>
  <si>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</si>
  <si>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</si>
  <si>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</si>
  <si>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</si>
  <si>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</si>
  <si>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</si>
  <si>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</si>
  <si>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</si>
  <si>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</si>
  <si>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</si>
  <si>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</si>
  <si>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</si>
  <si>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</si>
  <si>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</si>
  <si>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</si>
  <si>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</si>
  <si>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</si>
  <si>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</si>
  <si>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</si>
  <si>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</si>
  <si>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</si>
  <si>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</si>
  <si>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</si>
  <si>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</si>
  <si>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</si>
  <si>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</si>
  <si>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</si>
  <si>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</si>
  <si>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</si>
  <si>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</si>
  <si>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</si>
  <si>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</si>
  <si>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</si>
  <si>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</si>
  <si>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</si>
  <si>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</si>
  <si>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</si>
  <si>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</si>
  <si>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</si>
  <si>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</si>
  <si>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</si>
  <si>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</si>
  <si>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</si>
  <si>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</si>
  <si>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</si>
  <si>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</si>
  <si>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</si>
  <si>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</si>
  <si>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</si>
  <si>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</si>
  <si>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</si>
  <si>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</si>
  <si>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</si>
  <si>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</si>
  <si>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</si>
  <si>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</si>
  <si>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</si>
  <si>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</si>
  <si>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</si>
  <si>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</si>
  <si>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</si>
  <si>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</si>
  <si>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</si>
  <si>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</si>
  <si>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</si>
  <si>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</si>
  <si>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</si>
  <si>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</si>
  <si>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</si>
  <si>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</si>
  <si>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</si>
  <si>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</si>
  <si>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</si>
  <si>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</si>
  <si>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</si>
  <si>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</si>
  <si>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</si>
  <si>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</si>
  <si>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</si>
  <si>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</si>
  <si>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</si>
  <si>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</si>
  <si>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</si>
  <si>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</si>
  <si>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</si>
  <si>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</si>
  <si>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</si>
  <si>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</si>
  <si>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</si>
  <si>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</si>
  <si>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</si>
  <si>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</si>
  <si>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</si>
  <si>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</si>
  <si>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</si>
  <si>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</si>
  <si>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</si>
  <si>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</si>
  <si>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</si>
  <si>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</si>
  <si>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</si>
  <si>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</si>
  <si>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</si>
  <si>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</si>
  <si>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</si>
  <si>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</si>
  <si>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</si>
  <si>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</si>
  <si>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</si>
  <si>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</si>
  <si>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</si>
  <si>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</si>
  <si>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</si>
  <si>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</si>
  <si>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</si>
  <si>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</si>
  <si>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</si>
  <si>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</si>
  <si>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</si>
  <si>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</si>
  <si>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</si>
  <si>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</si>
  <si>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</si>
  <si>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</si>
  <si>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</si>
  <si>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</si>
  <si>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</si>
  <si>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</si>
  <si>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</si>
  <si>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</si>
  <si>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</si>
  <si>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</si>
  <si>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</si>
  <si>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</si>
  <si>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</si>
  <si>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</si>
  <si>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</si>
  <si>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</si>
  <si>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</si>
  <si>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</si>
  <si>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</si>
  <si>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</si>
  <si>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</si>
  <si>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</si>
  <si>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</si>
  <si>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</si>
  <si>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</si>
  <si>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</si>
  <si>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</si>
  <si>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</si>
  <si>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</si>
  <si>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</si>
  <si>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</si>
  <si>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</si>
  <si>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</si>
  <si>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</si>
  <si>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</si>
  <si>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</si>
  <si>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</si>
  <si>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</si>
  <si>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</si>
  <si>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</si>
  <si>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</si>
  <si>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</si>
  <si>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</si>
  <si>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</si>
  <si>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</si>
  <si>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</si>
  <si>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</si>
  <si>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</si>
  <si>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</si>
  <si>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</si>
  <si>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</si>
  <si>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</si>
  <si>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</si>
  <si>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</si>
  <si>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</si>
  <si>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</si>
  <si>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</si>
  <si>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</si>
  <si>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</si>
  <si>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</si>
  <si>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</si>
  <si>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</si>
  <si>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</si>
  <si>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</si>
  <si>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</si>
  <si>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</si>
  <si>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</si>
  <si>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</si>
  <si>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</si>
  <si>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</si>
  <si>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</si>
  <si>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</si>
  <si>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</si>
  <si>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</si>
  <si>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</si>
  <si>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</si>
  <si>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</si>
  <si>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</si>
  <si>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</si>
  <si>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</si>
  <si>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</si>
  <si>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</si>
  <si>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</si>
  <si>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</si>
  <si>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</si>
  <si>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</si>
  <si>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</si>
  <si>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</si>
  <si>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</si>
  <si>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</si>
  <si>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</si>
  <si>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</si>
  <si>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</si>
  <si>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</si>
  <si>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</si>
  <si>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</si>
  <si>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</si>
  <si>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</si>
  <si>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</si>
  <si>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</si>
  <si>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</si>
  <si>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</si>
  <si>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</si>
  <si>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</si>
  <si>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</si>
  <si>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</si>
  <si>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</si>
  <si>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</si>
  <si>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</si>
  <si>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</si>
  <si>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</si>
  <si>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</si>
  <si>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</si>
  <si>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</si>
  <si>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</si>
  <si>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</si>
  <si>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</si>
  <si>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</si>
  <si>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</si>
  <si>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</si>
  <si>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</si>
  <si>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</si>
  <si>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</si>
  <si>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</si>
  <si>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</si>
  <si>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</si>
  <si>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</si>
  <si>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</si>
  <si>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</si>
  <si>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</si>
  <si>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</si>
  <si>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</si>
  <si>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</si>
  <si>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</si>
  <si>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</si>
  <si>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</si>
  <si>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</si>
  <si>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</si>
  <si>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</si>
  <si>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</si>
  <si>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</si>
  <si>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</si>
  <si>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</si>
  <si>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</si>
  <si>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</si>
  <si>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</si>
  <si>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</si>
  <si>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</si>
  <si>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</si>
  <si>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</si>
  <si>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</si>
  <si>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</si>
  <si>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</si>
  <si>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</si>
  <si>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</si>
  <si>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</si>
  <si>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</si>
  <si>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</si>
  <si>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</si>
  <si>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</si>
  <si>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</si>
  <si>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</si>
  <si>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</si>
  <si>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</si>
  <si>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</si>
  <si>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</si>
  <si>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</si>
  <si>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</si>
  <si>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</si>
  <si>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</si>
  <si>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</si>
  <si>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</si>
  <si>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</si>
  <si>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</si>
  <si>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</si>
  <si>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</si>
  <si>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</si>
  <si>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</si>
  <si>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</si>
  <si>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</si>
  <si>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</si>
  <si>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</si>
  <si>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</si>
  <si>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</si>
  <si>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</si>
  <si>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</si>
  <si>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</si>
  <si>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</si>
  <si>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</si>
  <si>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</si>
  <si>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</si>
  <si>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</si>
  <si>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</si>
  <si>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</si>
  <si>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</si>
  <si>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</si>
  <si>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</si>
  <si>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</si>
  <si>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</si>
  <si>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</si>
  <si>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</si>
  <si>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</si>
  <si>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</si>
  <si>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</si>
  <si>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</si>
  <si>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</si>
  <si>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</si>
  <si>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</si>
  <si>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</si>
  <si>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</si>
  <si>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</si>
  <si>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</si>
  <si>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</si>
  <si>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</si>
  <si>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</si>
  <si>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</si>
  <si>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</si>
  <si>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</si>
  <si>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</si>
  <si>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</si>
  <si>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</si>
  <si>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</si>
  <si>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</si>
  <si>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</si>
  <si>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</si>
  <si>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</si>
  <si>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</si>
  <si>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</si>
  <si>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</si>
  <si>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</si>
  <si>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</si>
  <si>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</si>
  <si>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</si>
  <si>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</si>
  <si>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</si>
  <si>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</si>
  <si>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</si>
  <si>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</si>
  <si>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</si>
  <si>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</si>
  <si>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</si>
  <si>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</si>
  <si>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</si>
  <si>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</si>
  <si>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</si>
  <si>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</si>
  <si>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</si>
  <si>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</si>
  <si>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</si>
  <si>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</si>
  <si>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</si>
  <si>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</si>
  <si>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</si>
  <si>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</si>
  <si>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</si>
  <si>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</si>
  <si>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</si>
  <si>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</si>
  <si>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</si>
  <si>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</si>
  <si>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</si>
  <si>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</si>
  <si>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</si>
  <si>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</si>
  <si>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</si>
  <si>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</si>
  <si>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</si>
  <si>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</si>
  <si>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</si>
  <si>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</si>
  <si>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</si>
  <si>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</si>
  <si>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</si>
  <si>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</si>
  <si>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</si>
  <si>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</si>
  <si>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</si>
  <si>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</si>
  <si>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</si>
  <si>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</si>
  <si>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</si>
  <si>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</si>
  <si>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</si>
  <si>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</si>
  <si>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</si>
  <si>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</si>
  <si>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</si>
  <si>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</si>
  <si>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</si>
  <si>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</si>
  <si>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</si>
  <si>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</si>
  <si>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</si>
  <si>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</si>
  <si>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</si>
  <si>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</si>
  <si>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</si>
  <si>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</si>
  <si>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</si>
  <si>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</si>
  <si>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</si>
  <si>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</si>
  <si>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</si>
  <si>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</si>
  <si>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</si>
  <si>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</si>
  <si>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</si>
  <si>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</si>
  <si>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</si>
  <si>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</si>
  <si>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</si>
  <si>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</si>
  <si>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</si>
  <si>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</si>
  <si>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</si>
  <si>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</si>
  <si>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</si>
  <si>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</si>
  <si>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</si>
  <si>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</si>
  <si>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</si>
  <si>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</si>
  <si>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</si>
  <si>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</si>
  <si>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</si>
  <si>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</si>
  <si>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</si>
  <si>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</si>
  <si>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</si>
  <si>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</si>
  <si>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</si>
  <si>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</si>
  <si>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</si>
  <si>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</si>
  <si>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</si>
  <si>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</si>
  <si>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</si>
  <si>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</si>
  <si>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</si>
  <si>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</si>
  <si>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</si>
  <si>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</si>
  <si>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</si>
  <si>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</si>
  <si>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</si>
  <si>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</si>
  <si>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</si>
  <si>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</si>
  <si>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</si>
  <si>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</si>
  <si>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</si>
  <si>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</si>
  <si>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</si>
  <si>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</si>
  <si>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</si>
  <si>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</si>
  <si>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</si>
  <si>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</si>
  <si>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</si>
  <si>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</si>
  <si>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</si>
  <si>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</si>
  <si>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</si>
  <si>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</si>
  <si>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</si>
  <si>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</si>
  <si>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</si>
  <si>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</si>
  <si>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</si>
  <si>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</si>
  <si>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</si>
  <si>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</si>
  <si>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</si>
  <si>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</si>
  <si>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</si>
  <si>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</si>
  <si>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</si>
  <si>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</si>
  <si>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</si>
  <si>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</si>
  <si>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</si>
  <si>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</si>
  <si>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</si>
  <si>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</si>
  <si>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</si>
  <si>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</si>
  <si>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</si>
  <si>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</si>
  <si>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</si>
  <si>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</si>
  <si>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</si>
  <si>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</si>
  <si>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</si>
  <si>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</si>
  <si>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</si>
  <si>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</si>
  <si>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</si>
  <si>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</si>
  <si>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</si>
  <si>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</si>
  <si>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</si>
  <si>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</si>
  <si>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</si>
  <si>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</si>
  <si>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</si>
  <si>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</si>
  <si>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</si>
  <si>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</si>
  <si>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</si>
  <si>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</si>
  <si>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</si>
  <si>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</si>
  <si>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</si>
  <si>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</si>
  <si>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</si>
  <si>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</si>
  <si>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</si>
  <si>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</si>
  <si>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</si>
  <si>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</si>
  <si>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</si>
  <si>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</si>
  <si>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</si>
  <si>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</si>
  <si>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</si>
  <si>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</si>
  <si>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</si>
  <si>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</si>
  <si>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</si>
  <si>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</si>
  <si>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</si>
  <si>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</si>
  <si>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</si>
  <si>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</si>
  <si>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</si>
  <si>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</si>
  <si>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</si>
  <si>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</si>
  <si>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</si>
  <si>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</si>
  <si>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</si>
  <si>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</si>
  <si>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</si>
  <si>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</si>
  <si>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</si>
  <si>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</si>
  <si>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</si>
  <si>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</si>
  <si>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</si>
  <si>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</si>
  <si>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</si>
  <si>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</si>
  <si>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</si>
  <si>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</si>
  <si>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</si>
  <si>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</si>
  <si>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</si>
  <si>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</si>
  <si>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</si>
  <si>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</si>
  <si>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</si>
  <si>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</si>
  <si>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</si>
  <si>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</si>
  <si>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</si>
  <si>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</si>
  <si>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</si>
  <si>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</si>
  <si>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</si>
  <si>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</si>
  <si>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</si>
  <si>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</si>
  <si>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</si>
  <si>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</si>
  <si>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</si>
  <si>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</si>
  <si>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</si>
  <si>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</si>
  <si>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</si>
  <si>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</si>
  <si>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</si>
  <si>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</si>
  <si>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</si>
  <si>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</si>
  <si>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</si>
  <si>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</si>
  <si>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</si>
  <si>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</si>
  <si>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</si>
  <si>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</si>
  <si>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</si>
  <si>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</si>
  <si>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</si>
  <si>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</si>
  <si>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</si>
  <si>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</si>
  <si>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</si>
  <si>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</si>
  <si>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</si>
  <si>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</si>
  <si>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</si>
  <si>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</si>
  <si>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</si>
  <si>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</si>
  <si>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</si>
  <si>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</si>
  <si>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</si>
  <si>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</si>
  <si>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</si>
  <si>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</si>
  <si>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</si>
  <si>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</si>
  <si>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</si>
  <si>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</si>
  <si>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</si>
  <si>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</si>
  <si>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</si>
  <si>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</si>
  <si>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</si>
  <si>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</si>
  <si>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</si>
  <si>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</si>
  <si>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</si>
  <si>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</si>
  <si>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</si>
  <si>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</si>
  <si>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</si>
  <si>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</si>
  <si>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</si>
  <si>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</si>
  <si>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</si>
  <si>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</si>
  <si>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</si>
  <si>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</si>
  <si>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</si>
  <si>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</si>
  <si>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</si>
  <si>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</si>
  <si>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</si>
  <si>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</si>
  <si>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</si>
  <si>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</si>
  <si>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</si>
  <si>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</si>
  <si>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</si>
  <si>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</si>
  <si>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</si>
  <si>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</si>
  <si>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</si>
  <si>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</si>
  <si>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</si>
  <si>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</si>
  <si>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</si>
  <si>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</si>
  <si>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</si>
  <si>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</si>
  <si>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</si>
  <si>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</si>
  <si>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</si>
  <si>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</si>
  <si>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</si>
  <si>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</si>
  <si>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</si>
  <si>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</si>
  <si>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</si>
  <si>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</si>
  <si>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</si>
  <si>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</si>
  <si>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</si>
  <si>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</si>
  <si>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</si>
  <si>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</si>
  <si>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</si>
  <si>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</si>
  <si>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</si>
  <si>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</si>
  <si>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</si>
  <si>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</si>
  <si>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</si>
  <si>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</si>
  <si>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</si>
  <si>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</si>
  <si>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</si>
  <si>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</si>
  <si>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</si>
  <si>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</si>
  <si>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</si>
  <si>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</si>
  <si>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</si>
  <si>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</si>
  <si>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</si>
  <si>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</si>
  <si>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</si>
  <si>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</si>
  <si>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</si>
  <si>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</si>
  <si>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</si>
  <si>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</si>
  <si>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</si>
  <si>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</si>
  <si>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</si>
  <si>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</si>
  <si>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</si>
  <si>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</si>
  <si>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</si>
  <si>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</si>
  <si>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</si>
  <si>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</si>
  <si>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</si>
  <si>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</si>
  <si>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</si>
  <si>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</si>
  <si>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</si>
  <si>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</si>
  <si>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</si>
  <si>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</si>
  <si>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</si>
  <si>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</si>
  <si>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</si>
  <si>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</si>
  <si>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</si>
  <si>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</si>
  <si>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</si>
  <si>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</si>
  <si>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</si>
  <si>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</si>
  <si>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</si>
  <si>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</si>
  <si>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</si>
  <si>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</si>
  <si>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</si>
  <si>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</si>
  <si>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</si>
  <si>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</si>
  <si>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</si>
  <si>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</si>
  <si>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</si>
  <si>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</si>
  <si>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</si>
  <si>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</si>
  <si>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</si>
  <si>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</si>
  <si>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</si>
  <si>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</si>
  <si>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</si>
  <si>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</si>
  <si>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</si>
  <si>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</si>
  <si>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</si>
  <si>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</si>
  <si>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</si>
  <si>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</si>
  <si>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</si>
  <si>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</si>
  <si>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</si>
  <si>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</si>
  <si>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</si>
  <si>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</si>
  <si>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</si>
  <si>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</si>
  <si>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</si>
  <si>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</si>
  <si>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</si>
  <si>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</si>
  <si>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</si>
  <si>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</si>
  <si>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</si>
  <si>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</si>
  <si>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</si>
  <si>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</si>
  <si>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</si>
  <si>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</si>
  <si>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</si>
  <si>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</si>
  <si>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</si>
  <si>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</si>
  <si>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</si>
  <si>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</si>
  <si>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</si>
  <si>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</si>
  <si>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</si>
  <si>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</si>
  <si>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</si>
  <si>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</si>
  <si>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</si>
  <si>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</si>
  <si>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</si>
  <si>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</si>
  <si>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</si>
  <si>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</si>
  <si>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</si>
  <si>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</si>
  <si>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</si>
  <si>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</si>
  <si>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</si>
  <si>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</si>
  <si>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</si>
  <si>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</si>
  <si>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</si>
  <si>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</si>
  <si>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</si>
  <si>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</si>
  <si>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</si>
  <si>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</si>
  <si>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</si>
  <si>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</si>
  <si>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</si>
  <si>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</si>
  <si>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</si>
  <si>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</si>
  <si>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</si>
  <si>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</si>
  <si>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</si>
  <si>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</si>
  <si>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</si>
  <si>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</si>
  <si>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</si>
  <si>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</si>
  <si>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</si>
  <si>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</si>
  <si>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</si>
  <si>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</si>
  <si>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</si>
  <si>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</si>
  <si>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</si>
  <si>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</si>
  <si>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</si>
  <si>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</si>
  <si>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</si>
  <si>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</si>
  <si>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</si>
  <si>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</si>
  <si>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</si>
  <si>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</si>
  <si>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</si>
  <si>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</si>
  <si>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</si>
  <si>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</si>
  <si>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</si>
  <si>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</si>
  <si>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</si>
  <si>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</si>
  <si>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</si>
  <si>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</si>
  <si>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</si>
  <si>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</si>
  <si>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</si>
  <si>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</si>
  <si>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</si>
  <si>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</si>
  <si>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</si>
  <si>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</si>
  <si>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</si>
  <si>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</si>
  <si>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</si>
  <si>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</si>
  <si>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</si>
  <si>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</si>
  <si>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</si>
  <si>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</si>
  <si>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</si>
  <si>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</si>
  <si>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</si>
  <si>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</si>
  <si>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</si>
  <si>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</si>
  <si>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</si>
  <si>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</si>
  <si>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</si>
  <si>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</si>
  <si>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</si>
  <si>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</si>
  <si>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</si>
  <si>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</si>
  <si>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</si>
  <si>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</si>
  <si>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</si>
  <si>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</si>
  <si>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</si>
  <si>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</si>
  <si>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</si>
  <si>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</si>
  <si>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</si>
  <si>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</si>
  <si>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</si>
  <si>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</si>
  <si>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</si>
  <si>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</si>
  <si>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</si>
  <si>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</si>
  <si>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</si>
  <si>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</si>
  <si>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</si>
  <si>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</si>
  <si>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</si>
  <si>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</si>
  <si>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</si>
  <si>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</si>
  <si>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</si>
  <si>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</si>
  <si>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</si>
  <si>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</si>
  <si>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</si>
  <si>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</si>
  <si>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</si>
  <si>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</si>
  <si>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</si>
  <si>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</si>
  <si>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</si>
  <si>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</si>
  <si>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</si>
  <si>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</si>
  <si>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</si>
  <si>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</si>
  <si>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</si>
  <si>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</si>
  <si>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</si>
  <si>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</si>
  <si>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</si>
  <si>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</si>
  <si>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</si>
  <si>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</si>
  <si>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</si>
  <si>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</si>
  <si>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</si>
  <si>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</si>
  <si>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</si>
  <si>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</si>
  <si>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</si>
  <si>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</si>
  <si>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</si>
  <si>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</si>
  <si>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</si>
  <si>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</si>
  <si>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</si>
  <si>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</si>
  <si>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</si>
  <si>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</si>
  <si>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</si>
  <si>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</si>
  <si>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</si>
  <si>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</si>
  <si>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</si>
  <si>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</si>
  <si>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</si>
  <si>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</si>
  <si>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</si>
  <si>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</si>
  <si>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</si>
  <si>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</si>
  <si>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</si>
  <si>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</si>
  <si>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</si>
  <si>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</si>
  <si>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</si>
  <si>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</si>
  <si>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</si>
  <si>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</si>
  <si>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</si>
  <si>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</si>
  <si>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</si>
  <si>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</si>
  <si>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</si>
  <si>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</si>
  <si>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</si>
  <si>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</si>
  <si>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</si>
  <si>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</si>
  <si>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</si>
  <si>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</si>
  <si>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</si>
  <si>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</si>
  <si>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</si>
  <si>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</si>
  <si>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</si>
  <si>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</si>
  <si>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</si>
  <si>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</si>
  <si>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</si>
  <si>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</si>
  <si>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</si>
  <si>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</si>
  <si>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</si>
  <si>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</si>
  <si>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</si>
  <si>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</si>
  <si>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</si>
  <si>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</si>
  <si>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</si>
  <si>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</si>
  <si>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</si>
  <si>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</si>
  <si>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</si>
  <si>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</si>
  <si>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</si>
  <si>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</si>
  <si>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</si>
  <si>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</si>
  <si>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</si>
  <si>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</si>
  <si>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</si>
  <si>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</si>
  <si>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</si>
  <si>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</si>
  <si>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</si>
  <si>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</si>
  <si>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</si>
  <si>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</si>
  <si>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</si>
  <si>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</si>
  <si>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</si>
  <si>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</si>
  <si>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</si>
  <si>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</si>
  <si>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</si>
  <si>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</si>
  <si>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</si>
  <si>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</si>
  <si>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</si>
  <si>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</si>
  <si>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</si>
  <si>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</si>
  <si>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</si>
  <si>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</si>
  <si>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</si>
  <si>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</si>
  <si>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</si>
  <si>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</si>
  <si>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</si>
  <si>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</si>
  <si>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</si>
  <si>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</si>
  <si>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</si>
  <si>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</si>
  <si>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</si>
  <si>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</si>
  <si>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</si>
  <si>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</si>
  <si>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</si>
  <si>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</si>
  <si>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</si>
  <si>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</si>
  <si>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</si>
  <si>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</si>
  <si>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</si>
  <si>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</si>
  <si>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</si>
  <si>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</si>
  <si>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</si>
  <si>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</si>
  <si>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</si>
  <si>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</si>
  <si>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</si>
  <si>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</si>
  <si>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</si>
  <si>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</si>
  <si>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</si>
  <si>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</si>
  <si>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</si>
  <si>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</si>
  <si>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</si>
  <si>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</si>
  <si>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</si>
  <si>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</si>
  <si>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</si>
  <si>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</si>
  <si>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</si>
  <si>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</si>
  <si>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</si>
  <si>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</si>
  <si>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</si>
  <si>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</si>
  <si>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</si>
  <si>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</si>
  <si>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</si>
  <si>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</si>
  <si>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</si>
  <si>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</si>
  <si>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</si>
  <si>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</si>
  <si>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</si>
  <si>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</si>
  <si>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</si>
  <si>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</si>
  <si>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</si>
  <si>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</si>
  <si>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</si>
  <si>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</si>
  <si>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</si>
  <si>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</si>
  <si>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</si>
  <si>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</si>
  <si>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</si>
  <si>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</si>
  <si>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</si>
  <si>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</si>
  <si>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</si>
  <si>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</si>
  <si>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</si>
  <si>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</si>
  <si>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</si>
  <si>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</si>
  <si>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</si>
  <si>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</si>
  <si>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</si>
  <si>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</si>
  <si>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</si>
  <si>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</si>
  <si>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</si>
  <si>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</si>
  <si>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</si>
  <si>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</si>
  <si>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</si>
  <si>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</si>
  <si>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</si>
  <si>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</si>
  <si>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</si>
  <si>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</si>
  <si>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</si>
  <si>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</si>
  <si>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</si>
  <si>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</si>
  <si>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</si>
  <si>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</si>
  <si>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</si>
  <si>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</si>
  <si>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</si>
  <si>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</si>
  <si>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</si>
  <si>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</si>
  <si>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</si>
  <si>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</si>
  <si>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</si>
  <si>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</si>
  <si>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</si>
  <si>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</si>
  <si>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</si>
  <si>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</si>
  <si>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</si>
  <si>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</si>
  <si>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</si>
  <si>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</si>
  <si>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</si>
  <si>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</si>
  <si>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</si>
  <si>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</si>
  <si>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</si>
  <si>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</si>
  <si>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</si>
  <si>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</si>
  <si>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</si>
  <si>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</si>
  <si>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</si>
  <si>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</si>
  <si>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</si>
  <si>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</si>
  <si>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</si>
  <si>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</si>
  <si>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</si>
  <si>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</si>
  <si>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</si>
  <si>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</si>
  <si>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</si>
  <si>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</si>
  <si>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</si>
  <si>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</si>
  <si>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</si>
  <si>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</si>
  <si>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</si>
  <si>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</si>
  <si>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</si>
  <si>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</si>
  <si>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</si>
  <si>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</si>
  <si>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</si>
  <si>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</si>
  <si>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</si>
  <si>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</si>
  <si>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</si>
  <si>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</si>
  <si>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</si>
  <si>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</si>
  <si>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</si>
  <si>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</si>
  <si>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</si>
  <si>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</si>
  <si>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</si>
  <si>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</si>
  <si>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</si>
  <si>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</si>
  <si>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</si>
  <si>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</si>
  <si>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</si>
  <si>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</si>
  <si>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</si>
  <si>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</si>
  <si>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</si>
  <si>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</si>
  <si>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</si>
  <si>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</si>
  <si>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</si>
  <si>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</si>
  <si>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</si>
  <si>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</si>
  <si>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</si>
  <si>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</si>
  <si>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</si>
  <si>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</si>
  <si>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</si>
  <si>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</si>
  <si>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</si>
  <si>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</si>
  <si>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</si>
  <si>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</si>
  <si>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</si>
  <si>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</si>
  <si>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</si>
  <si>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</si>
  <si>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</si>
  <si>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</si>
  <si>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</si>
  <si>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</si>
  <si>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</si>
  <si>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</si>
  <si>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</si>
  <si>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</si>
  <si>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</si>
  <si>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</si>
  <si>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</si>
  <si>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</si>
  <si>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</si>
  <si>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</si>
  <si>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</si>
  <si>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</si>
  <si>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</si>
  <si>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</si>
  <si>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</si>
  <si>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</si>
  <si>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</si>
  <si>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</si>
  <si>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</si>
  <si>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</si>
  <si>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</si>
  <si>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</si>
  <si>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</si>
  <si>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</si>
  <si>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</si>
  <si>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</si>
  <si>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</si>
  <si>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</si>
  <si>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</si>
  <si>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</si>
  <si>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</si>
  <si>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</si>
  <si>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</si>
  <si>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</si>
  <si>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</si>
  <si>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</si>
  <si>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</si>
  <si>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</si>
  <si>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</si>
  <si>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</si>
  <si>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</si>
  <si>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</si>
  <si>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</si>
  <si>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</si>
  <si>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</si>
  <si>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</si>
  <si>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</si>
  <si>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</si>
  <si>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</si>
  <si>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</si>
  <si>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</si>
  <si>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</si>
  <si>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</si>
  <si>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</si>
  <si>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</si>
  <si>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</si>
  <si>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</si>
  <si>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</si>
  <si>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</si>
  <si>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</si>
  <si>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</si>
  <si>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</si>
  <si>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</si>
  <si>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</si>
  <si>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</si>
  <si>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</si>
  <si>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</si>
  <si>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</si>
  <si>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</si>
  <si>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</si>
  <si>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</si>
  <si>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</si>
  <si>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</si>
  <si>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</si>
  <si>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</si>
  <si>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</si>
  <si>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</si>
  <si>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</si>
  <si>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</si>
  <si>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</si>
  <si>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</si>
  <si>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</si>
  <si>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</si>
  <si>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</si>
  <si>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</si>
  <si>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</si>
  <si>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</si>
  <si>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</si>
  <si>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</si>
  <si>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</si>
  <si>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</si>
  <si>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</si>
  <si>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</si>
  <si>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</si>
  <si>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</si>
  <si>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</si>
  <si>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</si>
  <si>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</si>
  <si>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</si>
  <si>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</si>
  <si>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</si>
  <si>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</si>
  <si>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</si>
  <si>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</si>
  <si>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</si>
  <si>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</si>
  <si>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</si>
  <si>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</si>
  <si>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</si>
  <si>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</si>
  <si>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</si>
  <si>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</si>
  <si>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</si>
  <si>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</si>
  <si>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</si>
  <si>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</si>
  <si>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</si>
  <si>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</si>
  <si>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</si>
  <si>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</si>
  <si>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</si>
  <si>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</si>
  <si>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</si>
  <si>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</si>
  <si>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</si>
  <si>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</si>
  <si>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</si>
  <si>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</si>
  <si>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</si>
  <si>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</si>
  <si>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</si>
  <si>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</si>
  <si>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</si>
  <si>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</si>
  <si>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</si>
  <si>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</si>
  <si>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</si>
  <si>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</si>
  <si>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</si>
  <si>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</si>
  <si>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</si>
  <si>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</si>
  <si>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</si>
  <si>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</si>
  <si>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</si>
  <si>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</si>
  <si>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</si>
  <si>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</si>
  <si>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</si>
  <si>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</si>
  <si>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</si>
  <si>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</si>
  <si>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</si>
  <si>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</si>
  <si>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</si>
  <si>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</si>
  <si>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</si>
  <si>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</si>
  <si>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</si>
  <si>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</si>
  <si>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</si>
  <si>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</si>
  <si>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</si>
  <si>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</si>
  <si>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</si>
  <si>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</si>
  <si>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</si>
  <si>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</si>
  <si>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</si>
  <si>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</si>
  <si>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</si>
  <si>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</si>
  <si>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</si>
  <si>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</si>
  <si>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</si>
  <si>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</si>
  <si>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</si>
  <si>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</si>
  <si>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</si>
  <si>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</si>
  <si>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</si>
  <si>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</si>
  <si>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</si>
  <si>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</si>
  <si>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</si>
  <si>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</si>
  <si>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</si>
  <si>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</si>
  <si>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</si>
  <si>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</si>
  <si>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</si>
  <si>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</si>
  <si>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</si>
  <si>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</si>
  <si>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</si>
  <si>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</si>
  <si>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</si>
  <si>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</si>
  <si>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</si>
  <si>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</si>
  <si>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</si>
  <si>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</si>
  <si>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</si>
  <si>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</si>
  <si>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</si>
  <si>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</si>
  <si>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</si>
  <si>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</si>
  <si>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</si>
  <si>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</si>
  <si>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</si>
  <si>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</si>
  <si>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</si>
  <si>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</si>
  <si>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</si>
  <si>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</si>
  <si>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</si>
  <si>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</si>
  <si>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</si>
  <si>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</si>
  <si>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</si>
  <si>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</si>
  <si>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</si>
  <si>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</si>
  <si>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</si>
  <si>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</si>
  <si>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</si>
  <si>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</si>
  <si>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</si>
  <si>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</si>
  <si>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</si>
  <si>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</si>
  <si>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</si>
  <si>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</si>
  <si>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</si>
  <si>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</si>
  <si>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</si>
  <si>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</si>
  <si>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</si>
  <si>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</si>
  <si>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</si>
  <si>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</si>
  <si>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</si>
  <si>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</si>
  <si>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</si>
  <si>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</si>
  <si>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</si>
  <si>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</si>
  <si>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</si>
  <si>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</si>
  <si>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</si>
  <si>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</si>
  <si>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</si>
  <si>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</si>
  <si>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</si>
  <si>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</si>
  <si>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</si>
  <si>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</si>
  <si>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</si>
  <si>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</si>
  <si>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</si>
  <si>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</si>
  <si>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</si>
  <si>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</si>
  <si>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</si>
  <si>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</si>
  <si>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</si>
  <si>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</si>
  <si>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</si>
  <si>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</si>
  <si>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</si>
  <si>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</si>
  <si>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</si>
  <si>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</si>
  <si>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</si>
  <si>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</si>
  <si>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</si>
  <si>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</si>
  <si>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</si>
  <si>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</si>
  <si>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</si>
  <si>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</si>
  <si>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</si>
  <si>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</si>
  <si>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</si>
  <si>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</si>
  <si>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</si>
  <si>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</si>
  <si>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</si>
  <si>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</si>
  <si>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</si>
  <si>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</si>
  <si>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</si>
  <si>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</si>
  <si>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</si>
  <si>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</si>
  <si>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</si>
  <si>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</si>
  <si>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</si>
  <si>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</si>
  <si>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</si>
  <si>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</si>
  <si>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</si>
  <si>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</si>
  <si>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</si>
  <si>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</si>
  <si>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</si>
  <si>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</si>
  <si>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</si>
  <si>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</si>
  <si>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</si>
  <si>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</si>
  <si>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</si>
  <si>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</si>
  <si>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</si>
  <si>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</si>
  <si>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</si>
  <si>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</si>
  <si>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</si>
  <si>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</si>
  <si>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</si>
  <si>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</si>
  <si>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</si>
  <si>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</si>
  <si>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</si>
  <si>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</si>
  <si>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</si>
  <si>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</si>
  <si>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</si>
  <si>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</si>
  <si>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</si>
  <si>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</si>
  <si>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</si>
  <si>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</si>
  <si>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</si>
  <si>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</si>
  <si>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</si>
  <si>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</si>
  <si>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</si>
  <si>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</si>
  <si>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</si>
  <si>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</si>
  <si>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</si>
  <si>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</si>
  <si>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</si>
  <si>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</si>
  <si>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</si>
  <si>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</si>
  <si>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</si>
  <si>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</si>
  <si>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</si>
  <si>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</si>
  <si>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</si>
  <si>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</si>
  <si>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</si>
  <si>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</si>
  <si>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</si>
  <si>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</si>
  <si>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</si>
  <si>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</si>
  <si>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</si>
  <si>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</si>
  <si>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</si>
  <si>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</si>
  <si>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</si>
  <si>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</si>
  <si>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</si>
  <si>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</si>
  <si>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</si>
  <si>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</si>
  <si>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</si>
  <si>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</si>
  <si>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</si>
  <si>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</si>
  <si>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</si>
  <si>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</si>
  <si>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</si>
  <si>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</si>
  <si>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</si>
  <si>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</si>
  <si>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</si>
  <si>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</si>
  <si>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</si>
  <si>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</si>
  <si>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</si>
  <si>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</si>
  <si>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</si>
  <si>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</si>
  <si>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</si>
  <si>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</si>
  <si>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</si>
  <si>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</si>
  <si>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</si>
  <si>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</si>
  <si>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</si>
  <si>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</si>
  <si>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</si>
  <si>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</si>
  <si>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</si>
  <si>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</si>
  <si>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</si>
  <si>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</si>
  <si>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</si>
  <si>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</si>
  <si>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</si>
  <si>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</si>
  <si>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</si>
  <si>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</si>
  <si>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</si>
  <si>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</si>
  <si>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</si>
  <si>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</si>
  <si>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</si>
  <si>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</si>
  <si>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</si>
  <si>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</si>
  <si>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</si>
  <si>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</si>
  <si>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</si>
  <si>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</si>
  <si>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</si>
  <si>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</si>
  <si>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</si>
  <si>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</si>
  <si>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</si>
  <si>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</si>
  <si>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</si>
  <si>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</si>
  <si>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</si>
  <si>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</si>
  <si>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</si>
  <si>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</si>
  <si>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</si>
  <si>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</si>
  <si>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</si>
  <si>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</si>
  <si>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</si>
  <si>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</si>
  <si>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</si>
  <si>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</si>
  <si>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</si>
  <si>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</si>
  <si>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</si>
  <si>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</si>
  <si>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</si>
  <si>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</si>
  <si>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</si>
  <si>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</si>
  <si>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</si>
  <si>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</si>
  <si>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</si>
  <si>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</si>
  <si>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</si>
  <si>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</si>
  <si>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</si>
  <si>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</si>
  <si>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</si>
  <si>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</si>
  <si>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</si>
  <si>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</si>
  <si>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</si>
  <si>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</si>
  <si>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</si>
  <si>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</si>
  <si>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</si>
  <si>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</si>
  <si>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</si>
  <si>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</si>
  <si>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</si>
  <si>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</si>
  <si>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</si>
  <si>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</si>
  <si>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</si>
  <si>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</si>
  <si>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</si>
  <si>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</si>
  <si>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</si>
  <si>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</si>
  <si>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</si>
  <si>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</si>
  <si>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</si>
  <si>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</si>
  <si>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</si>
  <si>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</si>
  <si>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</si>
  <si>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</si>
  <si>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</si>
  <si>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</si>
  <si>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</si>
  <si>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</si>
  <si>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</si>
  <si>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</si>
  <si>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</si>
  <si>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</si>
  <si>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</si>
  <si>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</si>
  <si>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</si>
  <si>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</si>
  <si>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</si>
  <si>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</si>
  <si>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</si>
  <si>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</si>
  <si>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</si>
  <si>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</si>
  <si>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</si>
  <si>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</si>
  <si>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</si>
  <si>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</si>
  <si>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</si>
  <si>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</si>
  <si>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</si>
  <si>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</si>
  <si>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</si>
  <si>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</si>
  <si>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</si>
  <si>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</si>
  <si>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</si>
  <si>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</si>
  <si>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</si>
  <si>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</si>
  <si>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</si>
  <si>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</si>
  <si>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</si>
  <si>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</si>
  <si>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</si>
  <si>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</si>
  <si>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</si>
  <si>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</si>
  <si>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</si>
  <si>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</si>
  <si>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</si>
  <si>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</si>
  <si>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</si>
  <si>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</si>
  <si>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</si>
  <si>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</si>
  <si>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</si>
  <si>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</si>
  <si>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</si>
  <si>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</si>
  <si>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</si>
  <si>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</si>
  <si>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</si>
  <si>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</si>
  <si>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</si>
  <si>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</si>
  <si>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</si>
  <si>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</si>
  <si>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</si>
  <si>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</si>
  <si>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</si>
  <si>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</si>
  <si>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</si>
  <si>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</si>
  <si>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</si>
  <si>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</si>
  <si>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</si>
  <si>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</si>
  <si>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</si>
  <si>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</si>
  <si>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</si>
  <si>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</si>
  <si>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</si>
  <si>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</si>
  <si>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</si>
  <si>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</si>
  <si>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</si>
  <si>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</si>
  <si>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</si>
  <si>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</si>
  <si>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</si>
  <si>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</si>
  <si>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</si>
  <si>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</si>
  <si>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</si>
  <si>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</si>
  <si>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</si>
  <si>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</si>
  <si>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</si>
  <si>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</si>
  <si>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</si>
  <si>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</si>
  <si>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</si>
  <si>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</si>
  <si>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</si>
  <si>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</si>
  <si>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</si>
  <si>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</si>
  <si>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</si>
  <si>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</si>
  <si>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</si>
  <si>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</si>
  <si>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</si>
  <si>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</si>
  <si>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</si>
  <si>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</si>
  <si>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</si>
  <si>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</si>
  <si>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</si>
  <si>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</si>
  <si>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</si>
  <si>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</si>
  <si>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</si>
  <si>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</si>
  <si>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</si>
  <si>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</si>
  <si>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</si>
  <si>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</si>
  <si>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</si>
  <si>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</si>
  <si>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</si>
  <si>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</si>
  <si>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</si>
  <si>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</si>
  <si>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</si>
  <si>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</si>
  <si>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</si>
  <si>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</si>
  <si>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</si>
  <si>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</si>
  <si>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</si>
  <si>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</si>
  <si>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</si>
  <si>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</si>
  <si>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</si>
  <si>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</si>
  <si>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</si>
  <si>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</si>
  <si>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</si>
  <si>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</si>
  <si>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</si>
  <si>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</si>
  <si>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</si>
  <si>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</si>
  <si>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</si>
  <si>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</si>
  <si>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</si>
  <si>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</si>
  <si>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</si>
  <si>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</si>
  <si>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</si>
  <si>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</si>
  <si>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</si>
  <si>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</si>
  <si>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</si>
  <si>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</si>
  <si>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</si>
  <si>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</si>
  <si>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</si>
  <si>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</si>
  <si>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</si>
  <si>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</si>
  <si>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</si>
  <si>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</si>
  <si>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</si>
  <si>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</si>
  <si>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</si>
  <si>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</si>
  <si>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</si>
  <si>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</si>
  <si>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</si>
  <si>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</si>
  <si>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</si>
  <si>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</si>
  <si>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</si>
  <si>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</si>
  <si>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</si>
  <si>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</si>
  <si>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</si>
  <si>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</si>
  <si>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</si>
  <si>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</si>
  <si>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</si>
  <si>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</si>
  <si>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</si>
  <si>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</si>
  <si>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</si>
  <si>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</si>
  <si>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</si>
  <si>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</si>
  <si>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</si>
  <si>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</si>
  <si>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</si>
  <si>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</si>
  <si>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</si>
  <si>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</si>
  <si>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</si>
  <si>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</si>
  <si>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</si>
  <si>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</si>
  <si>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</si>
  <si>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</si>
  <si>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</si>
  <si>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</si>
  <si>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</si>
  <si>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</si>
  <si>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</si>
  <si>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</si>
  <si>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</si>
  <si>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</si>
  <si>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</si>
  <si>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</si>
  <si>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</si>
  <si>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</si>
  <si>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</si>
  <si>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</si>
  <si>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</si>
  <si>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</si>
  <si>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</si>
  <si>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</si>
  <si>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</si>
  <si>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</si>
  <si>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</si>
  <si>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</si>
  <si>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</si>
  <si>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</si>
  <si>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</si>
  <si>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</si>
  <si>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</si>
  <si>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</si>
  <si>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</si>
  <si>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</si>
  <si>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</si>
  <si>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</si>
  <si>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</si>
  <si>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</si>
  <si>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</si>
  <si>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</si>
  <si>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</si>
  <si>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</si>
  <si>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</si>
  <si>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</si>
  <si>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</si>
  <si>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</si>
  <si>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</si>
  <si>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</si>
  <si>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</si>
  <si>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</si>
  <si>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</si>
  <si>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</si>
  <si>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</si>
  <si>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</si>
  <si>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</si>
  <si>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</si>
  <si>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</si>
  <si>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</si>
  <si>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</si>
  <si>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</si>
  <si>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</si>
  <si>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</si>
  <si>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</si>
  <si>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</si>
  <si>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</si>
  <si>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</si>
  <si>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</si>
  <si>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</si>
  <si>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</si>
  <si>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</si>
  <si>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</si>
  <si>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</si>
  <si>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</si>
  <si>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</si>
  <si>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</si>
  <si>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</si>
  <si>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</si>
  <si>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</si>
  <si>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</si>
  <si>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</si>
  <si>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</si>
  <si>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</si>
  <si>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</si>
  <si>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</si>
  <si>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</si>
  <si>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</si>
  <si>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</si>
  <si>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</si>
  <si>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</si>
  <si>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</si>
  <si>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</si>
  <si>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</si>
  <si>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</si>
  <si>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</si>
  <si>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</si>
  <si>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</si>
  <si>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</si>
  <si>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</si>
  <si>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</si>
  <si>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</si>
  <si>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</si>
  <si>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</si>
  <si>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</si>
  <si>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</si>
  <si>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</si>
  <si>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</si>
  <si>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</si>
  <si>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</si>
  <si>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</si>
  <si>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</si>
  <si>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</si>
  <si>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</si>
  <si>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</si>
  <si>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</si>
  <si>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</si>
  <si>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</si>
  <si>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</si>
  <si>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</si>
  <si>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</si>
  <si>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</si>
  <si>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</si>
  <si>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</si>
  <si>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</si>
  <si>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</si>
  <si>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</si>
  <si>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</si>
  <si>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</si>
  <si>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</si>
  <si>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</si>
  <si>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</si>
  <si>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</si>
  <si>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</si>
  <si>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</si>
  <si>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</si>
  <si>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</si>
  <si>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</si>
  <si>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</si>
  <si>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</si>
  <si>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</si>
  <si>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</si>
  <si>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</si>
  <si>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</si>
  <si>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</si>
  <si>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</si>
  <si>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</si>
  <si>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</si>
  <si>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</si>
  <si>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</si>
  <si>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</si>
  <si>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</si>
  <si>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</si>
  <si>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</si>
  <si>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</si>
  <si>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</si>
  <si>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</si>
  <si>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</si>
  <si>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</si>
  <si>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</si>
  <si>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</si>
  <si>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</si>
  <si>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</si>
  <si>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</si>
  <si>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</si>
  <si>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</si>
  <si>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</si>
  <si>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</si>
  <si>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</si>
  <si>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</si>
  <si>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</si>
  <si>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</si>
  <si>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</si>
  <si>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</si>
  <si>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</si>
  <si>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</si>
  <si>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</si>
  <si>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</si>
  <si>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</si>
  <si>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</si>
  <si>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</si>
  <si>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</si>
  <si>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</si>
  <si>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</si>
  <si>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</si>
  <si>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</si>
  <si>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</si>
  <si>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</si>
  <si>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</si>
  <si>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</si>
  <si>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</si>
  <si>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</si>
  <si>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</si>
  <si>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</si>
  <si>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</si>
  <si>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</si>
  <si>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</si>
  <si>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</si>
  <si>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</si>
  <si>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</si>
  <si>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</si>
  <si>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</si>
  <si>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</si>
  <si>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</si>
  <si>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</si>
  <si>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</si>
  <si>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</si>
  <si>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</si>
  <si>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</si>
  <si>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</si>
  <si>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</si>
  <si>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</si>
  <si>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</si>
  <si>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</si>
  <si>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</si>
  <si>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</si>
  <si>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</si>
  <si>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</si>
  <si>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</si>
  <si>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</si>
  <si>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</si>
  <si>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</si>
  <si>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</si>
  <si>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</si>
  <si>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</si>
  <si>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</si>
  <si>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</si>
  <si>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</si>
  <si>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</si>
  <si>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</si>
  <si>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</si>
  <si>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</si>
  <si>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</si>
  <si>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</si>
  <si>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</si>
  <si>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</si>
  <si>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</si>
  <si>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</si>
  <si>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</si>
  <si>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</si>
  <si>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</si>
  <si>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</si>
  <si>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</si>
  <si>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</si>
  <si>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</si>
  <si>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</si>
  <si>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</si>
  <si>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</si>
  <si>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</si>
  <si>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</si>
  <si>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</si>
  <si>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</si>
  <si>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</si>
  <si>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</si>
  <si>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</si>
  <si>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</si>
  <si>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</si>
  <si>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</si>
  <si>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</si>
  <si>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</si>
  <si>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</si>
  <si>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</si>
  <si>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</si>
  <si>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</si>
  <si>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</si>
  <si>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</si>
  <si>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</si>
  <si>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</si>
  <si>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</si>
  <si>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</si>
  <si>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</si>
  <si>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</si>
  <si>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</si>
  <si>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</si>
  <si>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</si>
  <si>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</si>
  <si>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</si>
  <si>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</si>
  <si>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</si>
  <si>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</si>
  <si>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</si>
  <si>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</si>
  <si>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</si>
  <si>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</si>
  <si>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</si>
  <si>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</si>
  <si>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</si>
  <si>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</si>
  <si>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</si>
  <si>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</si>
  <si>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</si>
  <si>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</si>
  <si>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</si>
  <si>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</si>
  <si>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</si>
  <si>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</si>
  <si>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</si>
  <si>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</si>
  <si>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</si>
  <si>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</si>
  <si>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</si>
  <si>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</si>
  <si>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</si>
  <si>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</si>
  <si>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</si>
  <si>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</si>
  <si>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</si>
  <si>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</si>
  <si>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</si>
  <si>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</si>
  <si>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</si>
  <si>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</si>
  <si>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</si>
  <si>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</si>
  <si>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</si>
  <si>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</si>
  <si>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</si>
  <si>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</si>
  <si>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</si>
  <si>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</si>
  <si>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</si>
  <si>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</si>
  <si>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</si>
  <si>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</si>
  <si>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</si>
  <si>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</si>
  <si>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</si>
  <si>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</si>
  <si>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</si>
  <si>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</si>
  <si>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</si>
  <si>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</si>
  <si>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</si>
  <si>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</si>
  <si>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</si>
  <si>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</si>
  <si>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</si>
  <si>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</si>
  <si>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</si>
  <si>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</si>
  <si>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</si>
  <si>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</si>
  <si>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</si>
  <si>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</si>
  <si>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</si>
  <si>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</si>
  <si>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</si>
  <si>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</si>
  <si>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</si>
  <si>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</si>
  <si>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</si>
  <si>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</si>
  <si>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</si>
  <si>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</si>
  <si>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</si>
  <si>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</si>
  <si>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</si>
  <si>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</si>
  <si>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</si>
  <si>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</si>
  <si>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</si>
  <si>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</si>
  <si>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</si>
  <si>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</si>
  <si>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</si>
  <si>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</si>
  <si>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</si>
  <si>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</si>
  <si>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</si>
  <si>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</si>
  <si>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</si>
  <si>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</si>
  <si>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</si>
  <si>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</si>
  <si>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</si>
  <si>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</si>
  <si>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</si>
  <si>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</si>
  <si>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</si>
  <si>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</si>
  <si>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</si>
  <si>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</si>
  <si>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</si>
  <si>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</si>
  <si>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</si>
  <si>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</si>
  <si>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</si>
  <si>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</si>
  <si>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</si>
  <si>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</si>
  <si>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</si>
  <si>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</si>
  <si>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</si>
  <si>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</si>
  <si>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</si>
  <si>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</si>
  <si>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</si>
  <si>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</si>
  <si>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</si>
  <si>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</si>
  <si>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</si>
  <si>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</si>
  <si>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</si>
  <si>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</si>
  <si>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</si>
  <si>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</si>
  <si>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</si>
  <si>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</si>
  <si>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</si>
  <si>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</si>
  <si>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</si>
  <si>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</si>
  <si>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</si>
  <si>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</si>
  <si>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</si>
  <si>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</si>
  <si>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</si>
  <si>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</si>
  <si>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</si>
  <si>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</si>
  <si>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</si>
  <si>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</si>
  <si>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</si>
  <si>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</si>
  <si>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</si>
  <si>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</si>
  <si>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</si>
  <si>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</si>
  <si>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</si>
  <si>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</si>
  <si>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</si>
  <si>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</si>
  <si>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</si>
  <si>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</si>
  <si>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</si>
  <si>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</si>
  <si>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</si>
  <si>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</si>
  <si>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</si>
  <si>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</si>
  <si>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</si>
  <si>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</si>
  <si>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</si>
  <si>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</si>
  <si>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</si>
  <si>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</si>
  <si>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</si>
  <si>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</si>
  <si>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</si>
  <si>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</si>
  <si>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</si>
  <si>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</si>
  <si>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</si>
  <si>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</si>
  <si>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</si>
  <si>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</si>
  <si>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</si>
  <si>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</si>
  <si>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</si>
  <si>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</si>
  <si>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</si>
  <si>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</si>
  <si>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</si>
  <si>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</si>
  <si>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</si>
  <si>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</si>
  <si>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</si>
  <si>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</si>
  <si>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</si>
  <si>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</si>
  <si>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</si>
  <si>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</si>
  <si>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</si>
  <si>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</si>
  <si>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</si>
  <si>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</si>
  <si>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</si>
  <si>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</si>
  <si>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</si>
  <si>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</si>
  <si>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</si>
  <si>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</si>
  <si>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</si>
  <si>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</si>
  <si>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</si>
  <si>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</si>
  <si>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</si>
  <si>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</si>
  <si>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</si>
  <si>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</si>
  <si>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</si>
  <si>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</si>
  <si>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</si>
  <si>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</si>
  <si>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</si>
  <si>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</si>
  <si>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</si>
  <si>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</si>
  <si>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</si>
  <si>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</si>
  <si>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</si>
  <si>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</si>
  <si>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</si>
  <si>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</si>
  <si>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</si>
  <si>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</si>
  <si>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</si>
  <si>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</si>
  <si>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</si>
  <si>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</si>
  <si>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</si>
  <si>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</si>
  <si>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</si>
  <si>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</si>
  <si>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</si>
  <si>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</si>
  <si>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</si>
  <si>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</si>
  <si>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</si>
  <si>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</si>
  <si>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</si>
  <si>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</si>
  <si>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</si>
  <si>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</si>
  <si>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</si>
  <si>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</si>
  <si>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</si>
  <si>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</si>
  <si>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</si>
  <si>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</si>
  <si>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</si>
  <si>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</si>
  <si>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</si>
  <si>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</si>
  <si>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</si>
  <si>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</si>
  <si>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</si>
  <si>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</si>
  <si>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</si>
  <si>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</si>
  <si>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</si>
  <si>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</si>
  <si>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</si>
  <si>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</si>
  <si>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</si>
  <si>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</si>
  <si>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</si>
  <si>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</si>
  <si>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</si>
  <si>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</si>
  <si>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</si>
  <si>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</si>
  <si>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</si>
  <si>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</si>
  <si>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</si>
  <si>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</si>
  <si>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</si>
  <si>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</si>
  <si>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</si>
  <si>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</si>
  <si>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</si>
  <si>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</si>
  <si>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</si>
  <si>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</si>
  <si>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</si>
  <si>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</si>
  <si>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</si>
  <si>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</si>
  <si>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</si>
  <si>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</si>
  <si>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</si>
  <si>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</si>
  <si>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</si>
  <si>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</si>
  <si>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</si>
  <si>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</si>
  <si>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</si>
  <si>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</si>
  <si>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</si>
  <si>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</si>
  <si>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</si>
  <si>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</si>
  <si>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</si>
  <si>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</si>
  <si>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</si>
  <si>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</si>
  <si>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</si>
  <si>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</si>
  <si>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</si>
  <si>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</si>
  <si>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</si>
  <si>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</si>
  <si>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</si>
  <si>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</si>
  <si>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</si>
  <si>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</si>
  <si>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</si>
  <si>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</si>
  <si>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</si>
  <si>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</si>
  <si>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</si>
  <si>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</si>
  <si>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</si>
  <si>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</si>
  <si>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</si>
  <si>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</si>
  <si>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</si>
  <si>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</si>
  <si>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</si>
  <si>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</si>
  <si>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</si>
  <si>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</si>
  <si>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</si>
  <si>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</si>
  <si>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</si>
  <si>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</si>
  <si>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</si>
  <si>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</si>
  <si>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</si>
  <si>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</si>
  <si>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</si>
  <si>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</si>
  <si>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</si>
  <si>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</si>
  <si>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</si>
  <si>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</si>
  <si>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</si>
  <si>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</si>
  <si>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</si>
  <si>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</si>
  <si>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</si>
  <si>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</si>
  <si>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</si>
  <si>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</si>
  <si>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</si>
  <si>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</si>
  <si>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</si>
  <si>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</si>
  <si>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</si>
  <si>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</si>
  <si>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</si>
  <si>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</si>
  <si>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</si>
  <si>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</si>
  <si>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</si>
  <si>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</si>
  <si>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</si>
  <si>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</si>
  <si>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</si>
  <si>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</si>
  <si>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</si>
  <si>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</si>
  <si>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</si>
  <si>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</si>
  <si>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</si>
  <si>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</si>
  <si>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</si>
  <si>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</si>
  <si>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</si>
  <si>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</si>
  <si>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</si>
  <si>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</si>
  <si>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</si>
  <si>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</si>
  <si>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</si>
  <si>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</si>
  <si>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</si>
  <si>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</si>
  <si>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</si>
  <si>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</si>
  <si>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</si>
  <si>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</si>
  <si>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</si>
  <si>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</si>
  <si>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</si>
  <si>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</si>
  <si>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</si>
  <si>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</si>
  <si>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</si>
  <si>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</si>
  <si>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</si>
  <si>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</si>
  <si>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</si>
  <si>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</si>
  <si>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</si>
  <si>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</si>
  <si>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</si>
  <si>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</si>
  <si>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</si>
  <si>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</si>
  <si>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</si>
  <si>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</si>
  <si>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</si>
  <si>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</si>
  <si>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</si>
  <si>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</si>
  <si>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</si>
  <si>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</si>
  <si>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</si>
  <si>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</si>
  <si>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</si>
  <si>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</si>
  <si>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</si>
  <si>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</si>
  <si>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</si>
  <si>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</si>
  <si>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</si>
  <si>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</si>
  <si>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</si>
  <si>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</si>
  <si>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</si>
  <si>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</si>
  <si>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</si>
  <si>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</si>
  <si>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</si>
  <si>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</si>
  <si>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</si>
  <si>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</si>
  <si>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</si>
  <si>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</si>
  <si>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</si>
  <si>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</si>
  <si>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</si>
  <si>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</si>
  <si>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</si>
  <si>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</si>
  <si>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</si>
  <si>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</si>
  <si>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</si>
  <si>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</si>
  <si>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</si>
  <si>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</si>
  <si>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</si>
  <si>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</si>
  <si>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</si>
  <si>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</si>
  <si>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</si>
  <si>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</si>
  <si>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</si>
  <si>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</si>
  <si>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</si>
  <si>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</si>
  <si>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</si>
  <si>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</si>
  <si>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</si>
  <si>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</si>
  <si>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</si>
  <si>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</si>
  <si>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</si>
  <si>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</si>
  <si>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</si>
  <si>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</si>
  <si>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</si>
  <si>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</si>
  <si>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</si>
  <si>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</si>
  <si>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</si>
  <si>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</si>
  <si>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</si>
  <si>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</si>
  <si>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</si>
  <si>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</si>
  <si>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</si>
  <si>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</si>
  <si>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</si>
  <si>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</si>
  <si>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</si>
  <si>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</si>
  <si>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</si>
  <si>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</si>
  <si>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</si>
  <si>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</si>
  <si>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</si>
  <si>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</si>
  <si>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</si>
  <si>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</si>
  <si>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</si>
  <si>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</si>
  <si>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</si>
  <si>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</si>
  <si>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</si>
  <si>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</si>
  <si>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</si>
  <si>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</si>
  <si>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</si>
  <si>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</si>
  <si>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</si>
  <si>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</si>
  <si>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</si>
  <si>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</si>
  <si>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</si>
  <si>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</si>
  <si>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</si>
  <si>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</si>
  <si>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</si>
  <si>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</si>
  <si>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</si>
  <si>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</si>
  <si>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</si>
  <si>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</si>
  <si>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</si>
  <si>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</si>
  <si>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</si>
  <si>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</si>
  <si>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</si>
  <si>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</si>
  <si>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</si>
  <si>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</si>
  <si>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</si>
  <si>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</si>
  <si>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</si>
  <si>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</si>
  <si>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</si>
  <si>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</si>
  <si>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</si>
  <si>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</si>
  <si>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</si>
  <si>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</si>
  <si>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</si>
  <si>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</si>
  <si>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</si>
  <si>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</si>
  <si>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</si>
  <si>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</si>
  <si>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</si>
  <si>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</si>
  <si>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</si>
  <si>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</si>
  <si>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</si>
  <si>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</si>
  <si>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</si>
  <si>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</si>
  <si>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</si>
  <si>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</si>
  <si>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</si>
  <si>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</si>
  <si>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</si>
  <si>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</si>
  <si>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</si>
  <si>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</si>
  <si>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</si>
  <si>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</si>
  <si>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</si>
  <si>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</si>
  <si>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</si>
  <si>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</si>
  <si>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</si>
  <si>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</si>
  <si>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</si>
  <si>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</si>
  <si>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</si>
  <si>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</si>
  <si>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</si>
  <si>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</si>
  <si>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</si>
  <si>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</si>
  <si>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</si>
  <si>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</si>
  <si>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</si>
  <si>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</si>
  <si>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</si>
  <si>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</si>
  <si>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</si>
  <si>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</si>
  <si>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</si>
  <si>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</si>
  <si>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</si>
  <si>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</si>
  <si>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</si>
  <si>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</si>
  <si>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</si>
  <si>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</si>
  <si>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</si>
  <si>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</si>
  <si>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</si>
  <si>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</si>
  <si>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</si>
  <si>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</si>
  <si>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</si>
  <si>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</si>
  <si>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</si>
  <si>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</si>
  <si>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</si>
  <si>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</si>
  <si>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</si>
  <si>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</si>
  <si>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</si>
  <si>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</si>
  <si>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</si>
  <si>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</si>
  <si>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</si>
  <si>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</si>
  <si>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</si>
  <si>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</si>
  <si>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</si>
  <si>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</si>
  <si>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</si>
  <si>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</si>
  <si>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</si>
  <si>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</si>
  <si>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</si>
  <si>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</si>
  <si>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</si>
  <si>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</si>
  <si>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</si>
  <si>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</si>
  <si>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</si>
  <si>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</si>
  <si>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</si>
  <si>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</si>
  <si>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</si>
  <si>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</si>
  <si>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</si>
  <si>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</si>
  <si>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</si>
  <si>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</si>
  <si>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</si>
  <si>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</si>
  <si>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</si>
  <si>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</si>
  <si>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</si>
  <si>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</si>
  <si>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</si>
  <si>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</si>
  <si>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</si>
  <si>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</si>
  <si>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</si>
  <si>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</si>
  <si>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</si>
  <si>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</si>
  <si>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</si>
  <si>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</si>
  <si>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</si>
  <si>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</si>
  <si>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</si>
  <si>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</si>
  <si>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</si>
  <si>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</si>
  <si>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</si>
  <si>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</si>
  <si>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</si>
  <si>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</si>
  <si>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</si>
  <si>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</si>
  <si>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</si>
  <si>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</si>
  <si>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</si>
  <si>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</si>
  <si>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</si>
  <si>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</si>
  <si>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</si>
  <si>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</si>
  <si>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</si>
  <si>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</si>
  <si>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</si>
  <si>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</si>
  <si>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</si>
  <si>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</si>
  <si>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</si>
  <si>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</si>
  <si>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</si>
  <si>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</si>
  <si>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</si>
  <si>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</si>
  <si>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</si>
  <si>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</si>
  <si>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</si>
  <si>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</si>
  <si>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</si>
  <si>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</si>
  <si>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</si>
  <si>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</si>
  <si>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</si>
  <si>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</si>
  <si>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</si>
  <si>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</si>
  <si>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</si>
  <si>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</si>
  <si>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</si>
  <si>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</si>
  <si>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</si>
  <si>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</si>
  <si>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</si>
  <si>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</si>
  <si>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</si>
  <si>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</si>
  <si>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</si>
  <si>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</si>
  <si>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</si>
  <si>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</si>
  <si>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</si>
  <si>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</si>
  <si>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</si>
  <si>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</si>
  <si>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</si>
  <si>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</si>
  <si>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</si>
  <si>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</si>
  <si>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</si>
  <si>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</si>
  <si>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</si>
  <si>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</si>
  <si>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</si>
  <si>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</si>
  <si>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</si>
  <si>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</si>
  <si>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</si>
  <si>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</si>
  <si>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</si>
  <si>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</si>
  <si>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</si>
  <si>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</si>
  <si>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</si>
  <si>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</si>
  <si>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</si>
  <si>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</si>
  <si>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</si>
  <si>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</si>
  <si>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</si>
  <si>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</si>
  <si>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</si>
  <si>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</si>
  <si>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</si>
  <si>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</si>
  <si>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</si>
  <si>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</si>
  <si>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</si>
  <si>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</si>
  <si>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</si>
  <si>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</si>
  <si>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</si>
  <si>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</si>
  <si>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</si>
  <si>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</si>
  <si>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</si>
  <si>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</si>
  <si>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</si>
  <si>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</si>
  <si>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</si>
  <si>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</si>
  <si>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</si>
  <si>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</si>
  <si>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</si>
  <si>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</si>
  <si>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</si>
  <si>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</si>
  <si>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</si>
  <si>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</si>
  <si>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</si>
  <si>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</si>
  <si>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</si>
  <si>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</si>
  <si>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</si>
  <si>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</si>
  <si>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</si>
  <si>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</si>
  <si>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</si>
  <si>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</si>
  <si>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</si>
  <si>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</si>
  <si>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</si>
  <si>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</si>
  <si>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</si>
  <si>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</si>
  <si>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</si>
  <si>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</si>
  <si>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</si>
  <si>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</si>
  <si>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</si>
  <si>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</si>
  <si>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</si>
  <si>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</si>
  <si>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</si>
  <si>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</si>
  <si>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</si>
  <si>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</si>
  <si>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</si>
  <si>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</si>
  <si>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</si>
  <si>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</si>
  <si>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</si>
  <si>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</si>
  <si>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</si>
  <si>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</si>
  <si>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</si>
  <si>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</si>
  <si>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</si>
  <si>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</si>
  <si>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</si>
  <si>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</si>
  <si>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</si>
  <si>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</si>
  <si>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</si>
  <si>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</si>
  <si>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</si>
  <si>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</si>
  <si>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</si>
  <si>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</si>
  <si>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</si>
  <si>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</si>
  <si>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</si>
  <si>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</si>
  <si>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</si>
  <si>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</si>
  <si>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</si>
  <si>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</si>
  <si>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</si>
  <si>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</si>
  <si>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</si>
  <si>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</si>
  <si>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</si>
  <si>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</si>
  <si>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</si>
  <si>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</si>
  <si>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</si>
  <si>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</si>
  <si>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</si>
  <si>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</si>
  <si>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</si>
  <si>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</si>
  <si>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</si>
  <si>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</si>
  <si>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</si>
  <si>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</si>
  <si>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</si>
  <si>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</si>
  <si>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</si>
  <si>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</si>
  <si>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</si>
  <si>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</si>
  <si>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</si>
  <si>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</si>
  <si>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</si>
  <si>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</si>
  <si>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</si>
  <si>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</si>
  <si>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</si>
  <si>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</si>
  <si>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</si>
  <si>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</si>
  <si>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</si>
  <si>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</si>
  <si>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</si>
  <si>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</si>
  <si>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</si>
  <si>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</si>
  <si>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</si>
  <si>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</si>
  <si>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</si>
  <si>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</si>
  <si>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</si>
  <si>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</si>
  <si>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</si>
  <si>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</si>
  <si>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</si>
  <si>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</si>
  <si>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</si>
  <si>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</si>
  <si>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</si>
  <si>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</si>
  <si>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</si>
  <si>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</si>
  <si>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</si>
  <si>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</si>
  <si>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</si>
  <si>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</si>
  <si>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</si>
  <si>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</si>
  <si>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</si>
  <si>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</si>
  <si>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</si>
  <si>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</si>
  <si>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</si>
  <si>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</si>
  <si>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</si>
  <si>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</si>
  <si>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</si>
  <si>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</si>
  <si>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</si>
  <si>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</si>
  <si>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</si>
  <si>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</si>
  <si>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</si>
  <si>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</si>
  <si>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</si>
  <si>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</si>
  <si>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</si>
  <si>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</si>
  <si>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</si>
  <si>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</si>
  <si>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</si>
  <si>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</si>
  <si>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</si>
  <si>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</si>
  <si>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</si>
  <si>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</si>
  <si>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</si>
  <si>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</si>
  <si>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</si>
  <si>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</si>
  <si>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</si>
  <si>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</si>
  <si>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</si>
  <si>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</si>
  <si>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</si>
  <si>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</si>
  <si>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</si>
  <si>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</si>
  <si>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</si>
  <si>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</si>
  <si>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</si>
  <si>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</si>
  <si>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</si>
  <si>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</si>
  <si>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</si>
  <si>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</si>
  <si>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</si>
  <si>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</si>
  <si>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</si>
  <si>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</si>
  <si>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</si>
  <si>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</si>
  <si>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</si>
  <si>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</si>
  <si>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</si>
  <si>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</si>
  <si>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</si>
  <si>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</si>
  <si>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</si>
  <si>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</si>
  <si>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</si>
  <si>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</si>
  <si>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</si>
  <si>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</si>
  <si>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</si>
  <si>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</si>
  <si>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</si>
  <si>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</si>
  <si>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</si>
  <si>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</si>
  <si>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</si>
  <si>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</si>
  <si>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</si>
  <si>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</si>
  <si>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</si>
  <si>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</si>
  <si>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</si>
  <si>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</si>
  <si>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</si>
  <si>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</si>
  <si>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</si>
  <si>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</si>
  <si>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</si>
  <si>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</si>
  <si>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</si>
  <si>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</si>
  <si>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</si>
  <si>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</si>
  <si>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</si>
  <si>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</si>
  <si>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</si>
  <si>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</si>
  <si>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</si>
  <si>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</si>
  <si>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</si>
  <si>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</si>
  <si>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</si>
  <si>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</si>
  <si>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</si>
  <si>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</si>
  <si>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</si>
  <si>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</si>
  <si>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</si>
  <si>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</si>
  <si>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</si>
  <si>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</si>
  <si>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</si>
  <si>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</si>
  <si>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</si>
  <si>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</si>
  <si>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</si>
  <si>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</si>
  <si>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</si>
  <si>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</si>
  <si>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</si>
  <si>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</si>
  <si>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</si>
  <si>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</si>
  <si>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</si>
  <si>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</si>
  <si>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</si>
  <si>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</si>
  <si>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</si>
  <si>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</si>
  <si>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</si>
  <si>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</si>
  <si>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</si>
  <si>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</si>
  <si>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</si>
  <si>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</si>
  <si>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</si>
  <si>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</si>
  <si>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</si>
  <si>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</si>
  <si>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</si>
  <si>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</si>
  <si>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</si>
  <si>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</si>
  <si>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</si>
  <si>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</si>
  <si>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</si>
  <si>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</si>
  <si>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</si>
  <si>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</si>
  <si>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</si>
  <si>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</si>
  <si>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</si>
  <si>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</si>
  <si>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</si>
  <si>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</si>
  <si>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</si>
  <si>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</si>
  <si>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</si>
  <si>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</si>
  <si>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</si>
  <si>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</si>
  <si>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</si>
  <si>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</si>
  <si>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</si>
  <si>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</si>
  <si>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</si>
  <si>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</si>
  <si>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</si>
  <si>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</si>
  <si>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</si>
  <si>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</si>
  <si>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</si>
  <si>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</si>
  <si>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</si>
  <si>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</si>
  <si>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</si>
  <si>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</si>
  <si>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</si>
  <si>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</si>
  <si>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</si>
  <si>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</si>
  <si>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</si>
  <si>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</si>
  <si>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</si>
  <si>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</si>
  <si>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</si>
  <si>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</si>
  <si>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</si>
  <si>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</si>
  <si>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</si>
  <si>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</si>
  <si>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</si>
  <si>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</si>
  <si>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</si>
  <si>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</si>
  <si>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</si>
  <si>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</si>
  <si>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</si>
  <si>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</si>
  <si>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</si>
  <si>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</si>
  <si>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</si>
  <si>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</si>
  <si>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</si>
  <si>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</si>
  <si>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</si>
  <si>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</si>
  <si>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</si>
  <si>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</si>
  <si>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</si>
  <si>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</si>
  <si>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</si>
  <si>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</si>
  <si>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</si>
  <si>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</si>
  <si>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</si>
  <si>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</si>
  <si>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</si>
  <si>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</si>
  <si>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</si>
  <si>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</si>
  <si>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</si>
  <si>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</si>
  <si>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</si>
  <si>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</si>
  <si>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</si>
  <si>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</si>
  <si>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</si>
  <si>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</si>
  <si>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</si>
  <si>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</si>
  <si>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</si>
  <si>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</si>
  <si>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</si>
  <si>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</si>
  <si>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</si>
  <si>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</si>
  <si>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</si>
  <si>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</si>
  <si>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</si>
  <si>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</si>
  <si>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</si>
  <si>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</si>
  <si>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</si>
  <si>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</si>
  <si>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</si>
  <si>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</si>
  <si>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</si>
  <si>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</si>
  <si>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</si>
  <si>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</si>
  <si>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</si>
  <si>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</si>
  <si>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</si>
  <si>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</si>
  <si>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</si>
  <si>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</si>
  <si>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</si>
  <si>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</si>
  <si>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</si>
  <si>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</si>
  <si>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</si>
  <si>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</si>
  <si>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</si>
  <si>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</si>
  <si>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</si>
  <si>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</si>
  <si>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</si>
  <si>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</si>
  <si>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</si>
  <si>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</si>
  <si>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</si>
  <si>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</si>
  <si>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</si>
  <si>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</si>
  <si>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</si>
  <si>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</si>
  <si>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</si>
  <si>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</si>
  <si>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</si>
  <si>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</si>
  <si>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</si>
  <si>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</si>
  <si>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</si>
  <si>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</si>
  <si>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</si>
  <si>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</si>
  <si>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</si>
  <si>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</si>
  <si>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</si>
  <si>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</si>
  <si>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</si>
  <si>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</si>
  <si>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</si>
  <si>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</si>
  <si>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</si>
  <si>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</si>
  <si>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</si>
  <si>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</si>
  <si>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</si>
  <si>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</si>
  <si>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</si>
  <si>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</si>
  <si>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</si>
  <si>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</si>
  <si>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</si>
  <si>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</si>
  <si>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</si>
  <si>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</si>
  <si>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</si>
  <si>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</si>
  <si>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</si>
  <si>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</si>
  <si>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</si>
  <si>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</si>
  <si>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</si>
  <si>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</si>
  <si>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</si>
  <si>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</si>
  <si>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</si>
  <si>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</si>
  <si>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</si>
  <si>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</si>
  <si>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</si>
  <si>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</si>
  <si>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</si>
  <si>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</si>
  <si>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</si>
  <si>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</si>
  <si>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</si>
  <si>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</si>
  <si>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</si>
  <si>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</si>
  <si>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</si>
  <si>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</si>
  <si>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</si>
  <si>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</si>
  <si>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</si>
  <si>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</si>
  <si>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</si>
  <si>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</si>
  <si>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</si>
  <si>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</si>
  <si>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</si>
  <si>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</si>
  <si>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</si>
  <si>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</si>
  <si>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</si>
  <si>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</si>
  <si>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</si>
  <si>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</si>
  <si>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</si>
  <si>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</si>
  <si>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</si>
  <si>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</si>
  <si>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</si>
  <si>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</si>
  <si>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</si>
  <si>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</si>
  <si>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</si>
  <si>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</si>
  <si>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</si>
  <si>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</si>
  <si>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</si>
  <si>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</si>
  <si>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</si>
  <si>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</si>
  <si>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</si>
  <si>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</si>
  <si>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</si>
  <si>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</si>
  <si>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</si>
  <si>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</si>
  <si>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</si>
  <si>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</si>
  <si>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</si>
  <si>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</si>
  <si>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</si>
  <si>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</si>
  <si>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</si>
  <si>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</si>
  <si>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</si>
  <si>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</si>
  <si>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</si>
  <si>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</si>
  <si>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</si>
  <si>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</si>
  <si>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</si>
  <si>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</si>
  <si>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</si>
  <si>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</si>
  <si>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</si>
  <si>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</si>
  <si>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</si>
  <si>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</si>
  <si>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</si>
  <si>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</si>
  <si>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</si>
  <si>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</si>
  <si>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</si>
  <si>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</si>
  <si>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</si>
  <si>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</si>
  <si>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</si>
  <si>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</si>
  <si>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</si>
  <si>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</si>
  <si>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</si>
  <si>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</si>
  <si>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</si>
  <si>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</si>
  <si>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</si>
  <si>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</si>
  <si>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</si>
  <si>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</si>
  <si>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</si>
  <si>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</si>
  <si>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</si>
  <si>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</si>
  <si>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</si>
  <si>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</si>
  <si>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</si>
  <si>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</si>
  <si>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</si>
  <si>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</si>
  <si>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</si>
  <si>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</si>
  <si>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</si>
  <si>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</si>
  <si>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</si>
  <si>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</si>
  <si>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</si>
  <si>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</si>
  <si>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</si>
  <si>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</si>
  <si>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</si>
  <si>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</si>
  <si>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</si>
  <si>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</si>
  <si>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</si>
  <si>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</si>
  <si>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</si>
  <si>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</si>
  <si>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</si>
  <si>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</si>
  <si>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</si>
  <si>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</si>
  <si>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</si>
  <si>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</si>
  <si>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</si>
  <si>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</si>
  <si>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</si>
  <si>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</si>
  <si>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</si>
  <si>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</si>
  <si>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</si>
  <si>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</si>
  <si>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</si>
  <si>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</si>
  <si>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</si>
  <si>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</si>
  <si>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</si>
  <si>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</si>
  <si>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</si>
  <si>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</si>
  <si>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</si>
  <si>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</si>
  <si>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</si>
  <si>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</si>
  <si>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</si>
  <si>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</si>
  <si>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</si>
  <si>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</si>
  <si>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</si>
  <si>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</si>
  <si>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</si>
  <si>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</si>
  <si>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</si>
  <si>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</si>
  <si>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</si>
  <si>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</si>
  <si>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</si>
  <si>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</si>
  <si>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</si>
  <si>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</si>
  <si>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</si>
  <si>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</si>
  <si>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</si>
  <si>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</si>
  <si>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</si>
  <si>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</si>
  <si>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</si>
  <si>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</si>
  <si>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</si>
  <si>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</si>
  <si>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</si>
  <si>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</si>
  <si>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</si>
  <si>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</si>
  <si>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</si>
  <si>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</si>
  <si>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</si>
  <si>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</si>
  <si>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</si>
  <si>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</si>
  <si>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</si>
  <si>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</si>
  <si>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</si>
  <si>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</si>
  <si>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</si>
  <si>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</si>
  <si>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</si>
  <si>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</si>
  <si>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</si>
  <si>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</si>
  <si>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</si>
  <si>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</si>
  <si>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</si>
  <si>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</si>
  <si>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</si>
  <si>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</si>
  <si>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</si>
  <si>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</si>
  <si>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</si>
  <si>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</si>
  <si>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</si>
  <si>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</si>
  <si>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</si>
  <si>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</si>
  <si>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</si>
  <si>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</si>
  <si>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</si>
  <si>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</si>
  <si>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</si>
  <si>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</si>
  <si>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</si>
  <si>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</si>
  <si>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</si>
  <si>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</si>
  <si>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</si>
  <si>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</si>
  <si>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</si>
  <si>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</si>
  <si>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</si>
  <si>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</si>
  <si>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</si>
  <si>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</si>
  <si>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</si>
  <si>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</si>
  <si>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</si>
  <si>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</si>
  <si>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</si>
  <si>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</si>
  <si>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</si>
  <si>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</si>
  <si>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</si>
  <si>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</si>
  <si>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</si>
  <si>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</si>
  <si>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</si>
  <si>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</si>
  <si>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</si>
  <si>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</si>
  <si>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</si>
  <si>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</si>
  <si>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</si>
  <si>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</si>
  <si>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</si>
  <si>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</si>
  <si>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</si>
  <si>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</si>
  <si>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</si>
  <si>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</si>
  <si>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</si>
  <si>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</si>
  <si>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</si>
  <si>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</si>
  <si>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</si>
  <si>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</si>
  <si>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</si>
  <si>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</si>
  <si>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</si>
  <si>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</si>
  <si>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</si>
  <si>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</si>
  <si>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</si>
  <si>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</si>
  <si>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</si>
  <si>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</si>
  <si>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</si>
  <si>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</si>
  <si>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</si>
  <si>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</si>
  <si>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</si>
  <si>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</si>
  <si>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</si>
  <si>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</si>
  <si>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</si>
  <si>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</si>
  <si>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</si>
  <si>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</si>
  <si>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</si>
  <si>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</si>
  <si>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</si>
  <si>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</si>
  <si>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</si>
  <si>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</si>
  <si>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</si>
  <si>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</si>
  <si>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</si>
  <si>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</si>
  <si>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</si>
  <si>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</si>
  <si>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</si>
  <si>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</si>
  <si>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</si>
  <si>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</si>
  <si>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</si>
  <si>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</si>
  <si>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</si>
  <si>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</si>
  <si>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</si>
  <si>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</si>
  <si>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</si>
  <si>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</si>
  <si>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</si>
  <si>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</si>
  <si>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</si>
  <si>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</si>
  <si>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</si>
  <si>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</si>
  <si>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</si>
  <si>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</si>
  <si>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</si>
  <si>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</si>
  <si>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</si>
  <si>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</si>
  <si>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</si>
  <si>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</si>
  <si>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</si>
  <si>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</si>
  <si>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</si>
  <si>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</si>
  <si>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</si>
  <si>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</si>
  <si>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</si>
  <si>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</si>
  <si>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</si>
  <si>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</si>
  <si>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</si>
  <si>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</si>
  <si>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</si>
  <si>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</si>
  <si>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</si>
  <si>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</si>
  <si>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</si>
  <si>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</si>
  <si>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</si>
  <si>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</si>
  <si>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</si>
  <si>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</si>
  <si>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</si>
  <si>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</si>
  <si>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</si>
  <si>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</si>
  <si>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</si>
  <si>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</si>
  <si>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</si>
  <si>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</si>
  <si>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</si>
  <si>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</si>
  <si>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</si>
  <si>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</si>
  <si>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</si>
  <si>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</si>
  <si>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</si>
  <si>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</si>
  <si>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</si>
  <si>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</si>
  <si>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</si>
  <si>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</si>
  <si>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</si>
  <si>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</si>
  <si>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</si>
  <si>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</si>
  <si>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</si>
  <si>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</si>
  <si>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</si>
  <si>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</si>
  <si>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</si>
  <si>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</si>
  <si>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</si>
  <si>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</si>
  <si>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</si>
  <si>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</si>
  <si>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</si>
  <si>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</si>
  <si>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</si>
  <si>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</si>
  <si>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</si>
  <si>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</si>
  <si>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</si>
  <si>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</si>
  <si>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</si>
  <si>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</si>
  <si>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</si>
  <si>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</si>
  <si>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</si>
  <si>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</si>
  <si>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</si>
  <si>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</si>
  <si>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</si>
  <si>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</si>
  <si>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</si>
  <si>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</si>
  <si>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</si>
  <si>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</si>
  <si>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</si>
  <si>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</si>
  <si>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</si>
  <si>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</si>
  <si>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</si>
  <si>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</si>
  <si>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</si>
  <si>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</si>
  <si>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</si>
  <si>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</si>
  <si>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</si>
  <si>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</si>
  <si>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</si>
  <si>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</si>
  <si>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</si>
  <si>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</si>
  <si>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</si>
  <si>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</si>
  <si>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</si>
  <si>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</si>
  <si>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</si>
  <si>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</si>
  <si>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</si>
  <si>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</si>
  <si>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</si>
  <si>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</si>
  <si>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</si>
  <si>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</si>
  <si>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</si>
  <si>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</si>
  <si>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</si>
  <si>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</si>
  <si>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</si>
  <si>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</si>
  <si>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</si>
  <si>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</si>
  <si>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</si>
  <si>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</si>
  <si>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</si>
  <si>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</si>
  <si>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</si>
  <si>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</si>
  <si>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</si>
  <si>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</si>
  <si>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</si>
  <si>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</si>
  <si>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</si>
  <si>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</si>
  <si>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</si>
  <si>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</si>
  <si>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</si>
  <si>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</si>
  <si>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</si>
  <si>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</si>
  <si>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</si>
  <si>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</si>
  <si>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</si>
  <si>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</si>
  <si>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</si>
  <si>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</si>
  <si>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</si>
  <si>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</si>
  <si>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</si>
  <si>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</si>
  <si>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</si>
  <si>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</si>
  <si>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</si>
  <si>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</si>
  <si>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</si>
  <si>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</si>
  <si>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</si>
  <si>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</si>
  <si>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</si>
  <si>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</si>
  <si>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</si>
  <si>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</si>
  <si>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</si>
  <si>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</si>
  <si>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</si>
  <si>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</si>
  <si>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</si>
  <si>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</si>
  <si>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</si>
  <si>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</si>
  <si>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</si>
  <si>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</si>
  <si>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</si>
  <si>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</si>
  <si>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</si>
  <si>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</si>
  <si>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</si>
  <si>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</si>
  <si>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</si>
  <si>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</si>
  <si>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</si>
  <si>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</si>
  <si>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</si>
  <si>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</si>
  <si>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</si>
  <si>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</si>
  <si>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</si>
  <si>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</si>
  <si>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</si>
  <si>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</si>
  <si>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</si>
  <si>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</si>
  <si>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</si>
  <si>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</si>
  <si>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</si>
  <si>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</si>
  <si>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</si>
  <si>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</si>
  <si>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</si>
  <si>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</si>
  <si>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</si>
  <si>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</si>
  <si>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</si>
  <si>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</si>
  <si>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</si>
  <si>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</si>
  <si>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</si>
  <si>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</si>
  <si>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</si>
  <si>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</si>
  <si>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</si>
  <si>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</si>
  <si>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</si>
  <si>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</si>
  <si>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</si>
  <si>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</si>
  <si>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</si>
  <si>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</si>
  <si>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</si>
  <si>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</si>
  <si>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</si>
  <si>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</si>
  <si>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</si>
  <si>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</si>
  <si>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</si>
  <si>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</si>
  <si>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</si>
  <si>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</si>
  <si>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</si>
  <si>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</si>
  <si>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</si>
  <si>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</si>
  <si>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</si>
  <si>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</si>
  <si>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</si>
  <si>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</si>
  <si>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</si>
  <si>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</si>
  <si>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</si>
  <si>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</si>
  <si>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</si>
  <si>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</si>
  <si>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</si>
  <si>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</si>
  <si>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</si>
  <si>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</si>
  <si>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</si>
  <si>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</si>
  <si>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</si>
  <si>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</si>
  <si>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</si>
  <si>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</si>
  <si>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</si>
  <si>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</si>
  <si>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</si>
  <si>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</si>
  <si>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</si>
  <si>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</si>
  <si>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</si>
  <si>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</si>
  <si>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</si>
  <si>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</si>
  <si>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</si>
  <si>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</si>
  <si>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</si>
  <si>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</si>
  <si>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</si>
  <si>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</si>
  <si>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</si>
  <si>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</si>
  <si>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</si>
  <si>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</si>
  <si>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</si>
  <si>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</si>
  <si>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</si>
  <si>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</si>
  <si>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</si>
  <si>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</si>
  <si>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</si>
  <si>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</si>
  <si>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</si>
  <si>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</si>
  <si>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</si>
  <si>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</si>
  <si>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</si>
  <si>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</si>
  <si>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</si>
  <si>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</si>
  <si>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</si>
  <si>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</si>
  <si>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</si>
  <si>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</si>
  <si>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</si>
  <si>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</si>
  <si>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</si>
  <si>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</si>
  <si>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</si>
  <si>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</si>
  <si>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</si>
  <si>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</si>
  <si>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</si>
  <si>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</si>
  <si>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</si>
  <si>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</si>
  <si>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</si>
  <si>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</si>
  <si>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</si>
  <si>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</si>
  <si>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</si>
  <si>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</si>
  <si>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</si>
  <si>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</si>
  <si>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</si>
  <si>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</si>
  <si>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</si>
  <si>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</si>
  <si>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</si>
  <si>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</si>
  <si>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</si>
  <si>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</si>
  <si>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</si>
  <si>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</si>
  <si>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</si>
  <si>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</si>
  <si>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</si>
  <si>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</si>
  <si>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</si>
  <si>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</si>
  <si>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</si>
  <si>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</si>
  <si>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</si>
  <si>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</si>
  <si>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</si>
  <si>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</si>
  <si>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</si>
  <si>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</si>
  <si>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</si>
  <si>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</si>
  <si>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</si>
  <si>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</si>
  <si>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</si>
  <si>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</si>
  <si>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</si>
  <si>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</si>
  <si>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</si>
  <si>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</si>
  <si>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</si>
  <si>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</si>
  <si>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</si>
  <si>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</si>
  <si>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</si>
  <si>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</si>
  <si>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</si>
  <si>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</si>
  <si>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</si>
  <si>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</si>
  <si>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</si>
  <si>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</si>
  <si>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</si>
  <si>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</si>
  <si>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</si>
  <si>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</si>
  <si>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</si>
  <si>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</si>
  <si>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</si>
  <si>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</si>
  <si>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</si>
  <si>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</si>
  <si>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</si>
  <si>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</si>
  <si>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</si>
  <si>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</si>
  <si>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</si>
  <si>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</si>
  <si>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</si>
  <si>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</si>
  <si>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</si>
  <si>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</si>
  <si>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</si>
  <si>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</si>
  <si>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</si>
  <si>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</si>
  <si>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</si>
  <si>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</si>
  <si>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</si>
  <si>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</si>
  <si>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</si>
  <si>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</si>
  <si>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</si>
  <si>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</si>
  <si>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</si>
  <si>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</si>
  <si>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</si>
  <si>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</si>
  <si>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</si>
  <si>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</si>
  <si>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</si>
  <si>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</si>
  <si>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</si>
  <si>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</si>
  <si>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</si>
  <si>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</si>
  <si>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</si>
  <si>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</si>
  <si>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</si>
  <si>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</si>
  <si>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</si>
  <si>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</si>
  <si>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</si>
  <si>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</si>
  <si>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</si>
  <si>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</si>
  <si>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</si>
  <si>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</si>
  <si>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</si>
  <si>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</si>
  <si>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</si>
  <si>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</si>
  <si>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</si>
  <si>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</si>
  <si>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</si>
  <si>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</si>
  <si>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</si>
  <si>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</si>
  <si>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</si>
  <si>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</si>
  <si>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</si>
  <si>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</si>
  <si>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</si>
  <si>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</si>
  <si>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</si>
  <si>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</si>
  <si>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</si>
  <si>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</si>
  <si>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</si>
  <si>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</si>
  <si>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</si>
  <si>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</si>
  <si>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</si>
  <si>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</si>
  <si>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</si>
  <si>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</si>
  <si>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</si>
  <si>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</si>
  <si>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</si>
  <si>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</si>
  <si>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</si>
  <si>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</si>
  <si>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</si>
  <si>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</si>
  <si>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</si>
  <si>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</si>
  <si>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</si>
  <si>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</si>
  <si>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</si>
  <si>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</si>
  <si>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</si>
  <si>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</si>
  <si>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</si>
  <si>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</si>
  <si>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</si>
  <si>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</si>
  <si>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</si>
  <si>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</si>
  <si>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</si>
  <si>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</si>
  <si>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</si>
  <si>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</si>
  <si>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</si>
  <si>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</si>
  <si>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</si>
  <si>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</si>
  <si>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</si>
  <si>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</si>
  <si>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</si>
  <si>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</si>
  <si>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</si>
  <si>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</si>
  <si>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</si>
  <si>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</si>
  <si>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</si>
  <si>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</si>
  <si>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</si>
  <si>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</si>
  <si>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</si>
  <si>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</si>
  <si>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</si>
  <si>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</si>
  <si>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</si>
  <si>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</si>
  <si>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</si>
  <si>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</si>
  <si>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</si>
  <si>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</si>
  <si>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</si>
  <si>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</si>
  <si>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</si>
  <si>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</si>
  <si>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</si>
  <si>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</si>
  <si>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</si>
  <si>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</si>
  <si>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</si>
  <si>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</si>
  <si>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</si>
  <si>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</si>
  <si>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</si>
  <si>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</si>
  <si>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</si>
  <si>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</si>
  <si>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</si>
  <si>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</si>
  <si>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</si>
  <si>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</si>
  <si>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</si>
  <si>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</si>
  <si>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</si>
  <si>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</si>
  <si>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</si>
  <si>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</si>
  <si>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</si>
  <si>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</si>
  <si>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</si>
  <si>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</si>
  <si>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</si>
  <si>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</si>
  <si>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</si>
  <si>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</si>
  <si>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</si>
  <si>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</si>
  <si>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</si>
  <si>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</si>
  <si>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</si>
  <si>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</si>
  <si>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</si>
  <si>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</si>
  <si>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</si>
  <si>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</si>
  <si>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</si>
  <si>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</si>
  <si>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</si>
  <si>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</si>
  <si>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</si>
  <si>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</si>
  <si>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</si>
  <si>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</si>
  <si>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</si>
  <si>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</si>
  <si>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</si>
  <si>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</si>
  <si>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</si>
  <si>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</si>
  <si>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</si>
  <si>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</si>
  <si>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</si>
  <si>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</si>
  <si>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</si>
  <si>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</si>
  <si>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</si>
  <si>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</si>
  <si>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</si>
  <si>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</si>
  <si>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</si>
  <si>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</si>
  <si>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</si>
  <si>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</si>
  <si>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</si>
  <si>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</si>
  <si>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</si>
  <si>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</si>
  <si>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</si>
  <si>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</si>
  <si>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</si>
  <si>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</si>
  <si>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</si>
  <si>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</si>
  <si>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</si>
  <si>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</si>
  <si>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</si>
  <si>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</si>
  <si>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</si>
  <si>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</si>
  <si>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</si>
  <si>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</si>
  <si>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</si>
  <si>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</si>
  <si>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</si>
  <si>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</si>
  <si>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</si>
  <si>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</si>
  <si>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</si>
  <si>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</si>
  <si>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</si>
  <si>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</si>
  <si>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</si>
  <si>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</si>
  <si>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</si>
  <si>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</si>
  <si>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</si>
  <si>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</si>
  <si>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</si>
  <si>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</si>
  <si>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</si>
  <si>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</si>
  <si>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</si>
  <si>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</si>
  <si>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</si>
  <si>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</si>
  <si>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</si>
  <si>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</si>
  <si>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</si>
  <si>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</si>
  <si>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</si>
  <si>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</si>
  <si>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</si>
  <si>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</si>
  <si>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</si>
  <si>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</si>
  <si>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</si>
  <si>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</si>
  <si>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</si>
  <si>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</si>
  <si>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</si>
  <si>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</si>
  <si>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</si>
  <si>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</si>
  <si>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</si>
  <si>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</si>
  <si>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</si>
  <si>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</si>
  <si>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</si>
  <si>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</si>
  <si>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</si>
  <si>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</si>
  <si>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</si>
  <si>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</si>
  <si>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</si>
  <si>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</si>
  <si>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</si>
  <si>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</si>
  <si>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</si>
  <si>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</si>
  <si>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</si>
  <si>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</si>
  <si>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</si>
  <si>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</si>
  <si>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</si>
  <si>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</si>
  <si>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</si>
  <si>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</si>
  <si>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</si>
  <si>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</si>
  <si>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</si>
  <si>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</si>
  <si>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</si>
  <si>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</si>
  <si>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</si>
  <si>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</si>
  <si>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</si>
  <si>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</si>
  <si>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</si>
  <si>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</si>
  <si>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</si>
  <si>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</si>
  <si>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</si>
  <si>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</si>
  <si>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</si>
  <si>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</si>
  <si>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</si>
  <si>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</si>
  <si>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</si>
  <si>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</si>
  <si>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</si>
  <si>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</si>
  <si>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</si>
  <si>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</si>
  <si>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</si>
  <si>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</si>
  <si>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</si>
  <si>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</si>
  <si>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</si>
  <si>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</si>
  <si>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</si>
  <si>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</si>
  <si>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</si>
  <si>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</si>
  <si>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</si>
  <si>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</si>
  <si>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</si>
  <si>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</si>
  <si>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</si>
  <si>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</si>
  <si>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</si>
  <si>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</si>
  <si>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</si>
  <si>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</si>
  <si>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</si>
  <si>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</si>
  <si>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</si>
  <si>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</si>
  <si>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</si>
  <si>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</si>
  <si>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</si>
  <si>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</si>
  <si>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</si>
  <si>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</si>
  <si>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</si>
  <si>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</si>
  <si>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</si>
  <si>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</si>
  <si>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</si>
  <si>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</si>
  <si>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</si>
  <si>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</si>
  <si>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</si>
  <si>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</si>
  <si>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</si>
  <si>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</si>
  <si>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</si>
  <si>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</si>
  <si>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</si>
  <si>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</si>
  <si>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</si>
  <si>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</si>
  <si>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</si>
  <si>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</si>
  <si>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</si>
  <si>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</si>
  <si>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</si>
  <si>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</si>
  <si>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</si>
  <si>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</si>
  <si>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</si>
  <si>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</si>
  <si>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</si>
  <si>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</si>
  <si>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</si>
  <si>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</si>
  <si>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</si>
  <si>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</si>
  <si>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</si>
  <si>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</si>
  <si>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</si>
  <si>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</si>
  <si>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</si>
  <si>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</si>
  <si>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</si>
  <si>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</si>
  <si>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</si>
  <si>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</si>
  <si>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</si>
  <si>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</si>
  <si>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</si>
  <si>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</si>
  <si>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</si>
  <si>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</si>
  <si>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</si>
  <si>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</si>
  <si>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</si>
  <si>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</si>
  <si>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</si>
  <si>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</si>
  <si>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</si>
  <si>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</si>
  <si>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</si>
  <si>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</si>
  <si>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</si>
  <si>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</si>
  <si>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</si>
  <si>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</si>
  <si>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</si>
  <si>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</si>
  <si>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</si>
  <si>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</si>
  <si>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</si>
  <si>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</si>
  <si>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</si>
  <si>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</si>
  <si>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</si>
  <si>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</si>
  <si>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</si>
  <si>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</si>
  <si>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</si>
  <si>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</si>
  <si>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</si>
  <si>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</si>
  <si>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</si>
  <si>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</si>
  <si>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</si>
  <si>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</si>
  <si>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</si>
  <si>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</si>
  <si>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</si>
  <si>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</si>
  <si>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</si>
  <si>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</si>
  <si>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</si>
  <si>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</si>
  <si>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</si>
  <si>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</si>
  <si>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</si>
  <si>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</si>
  <si>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</si>
  <si>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</si>
  <si>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</si>
  <si>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</si>
  <si>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</si>
  <si>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</si>
  <si>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</si>
  <si>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</si>
  <si>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</si>
  <si>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</si>
  <si>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</si>
  <si>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</si>
  <si>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</si>
  <si>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</si>
  <si>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</si>
  <si>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</si>
  <si>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</si>
  <si>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</si>
  <si>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</si>
  <si>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</si>
  <si>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</si>
  <si>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</si>
  <si>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</si>
  <si>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</si>
  <si>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</si>
  <si>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</si>
  <si>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</si>
  <si>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</si>
  <si>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</si>
  <si>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</si>
  <si>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</si>
  <si>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</si>
  <si>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</si>
  <si>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</si>
  <si>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</si>
  <si>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</si>
  <si>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</si>
  <si>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</si>
  <si>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</si>
  <si>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</si>
  <si>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</si>
  <si>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</si>
  <si>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</si>
  <si>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</si>
  <si>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</si>
  <si>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</si>
  <si>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</si>
  <si>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</si>
  <si>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</si>
  <si>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</si>
  <si>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</si>
  <si>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</si>
  <si>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</si>
  <si>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</si>
  <si>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</si>
  <si>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</si>
  <si>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</si>
  <si>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</si>
  <si>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</si>
  <si>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</si>
  <si>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</si>
  <si>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</si>
  <si>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</si>
  <si>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</si>
  <si>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</si>
  <si>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</si>
  <si>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</si>
  <si>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</si>
  <si>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</si>
  <si>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</si>
  <si>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</si>
  <si>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</si>
  <si>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</si>
  <si>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</si>
  <si>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</si>
  <si>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</si>
  <si>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</si>
  <si>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</si>
  <si>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</si>
  <si>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</si>
  <si>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</si>
  <si>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</si>
  <si>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</si>
  <si>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</si>
  <si>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</si>
  <si>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</si>
  <si>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</si>
  <si>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</si>
  <si>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</si>
  <si>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</si>
  <si>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</si>
  <si>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</si>
  <si>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</si>
  <si>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</si>
  <si>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</si>
  <si>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</si>
  <si>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</si>
  <si>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</si>
  <si>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</si>
  <si>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</si>
  <si>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</si>
  <si>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</si>
  <si>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</si>
  <si>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</si>
  <si>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</si>
  <si>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</si>
  <si>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</si>
  <si>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</si>
  <si>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</si>
  <si>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</si>
  <si>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</si>
  <si>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</si>
  <si>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</si>
  <si>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</si>
  <si>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</si>
  <si>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</si>
  <si>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</si>
  <si>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</si>
  <si>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</si>
  <si>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</si>
  <si>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</si>
  <si>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</si>
  <si>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</si>
  <si>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</si>
  <si>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</si>
  <si>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</si>
  <si>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</si>
  <si>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</si>
  <si>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</si>
  <si>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</si>
  <si>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</si>
  <si>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</si>
  <si>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</si>
  <si>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</si>
  <si>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</si>
  <si>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</si>
  <si>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</si>
  <si>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</si>
  <si>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</si>
  <si>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</si>
  <si>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</si>
  <si>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</si>
  <si>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</si>
  <si>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</si>
  <si>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</si>
  <si>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</si>
  <si>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</si>
  <si>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</si>
  <si>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</si>
  <si>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</si>
  <si>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</si>
  <si>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</si>
  <si>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</si>
  <si>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</si>
  <si>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</si>
  <si>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</si>
  <si>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</si>
  <si>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</si>
  <si>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</si>
  <si>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</si>
  <si>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</si>
  <si>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</si>
  <si>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</si>
  <si>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</si>
  <si>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</si>
  <si>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</si>
  <si>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</si>
  <si>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</si>
  <si>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</si>
  <si>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</si>
  <si>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</si>
  <si>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</si>
  <si>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</si>
  <si>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</si>
  <si>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</si>
  <si>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</si>
  <si>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</si>
  <si>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</si>
  <si>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</si>
  <si>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</si>
  <si>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</si>
  <si>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</si>
  <si>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</si>
  <si>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</si>
  <si>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</si>
  <si>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</si>
  <si>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</si>
  <si>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</si>
  <si>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</si>
  <si>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</si>
  <si>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</si>
  <si>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</si>
  <si>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</si>
  <si>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</si>
  <si>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</si>
  <si>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</si>
  <si>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</si>
  <si>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</si>
  <si>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</si>
  <si>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</si>
  <si>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</si>
  <si>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</si>
  <si>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</si>
  <si>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</si>
  <si>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</si>
  <si>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</si>
  <si>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</si>
  <si>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</si>
  <si>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</si>
  <si>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</si>
  <si>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</si>
  <si>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</si>
  <si>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</si>
  <si>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</si>
  <si>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</si>
  <si>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</si>
  <si>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</si>
  <si>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</si>
  <si>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</si>
  <si>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</si>
  <si>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</si>
  <si>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</si>
  <si>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</si>
  <si>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</si>
  <si>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</si>
  <si>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</si>
  <si>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</si>
  <si>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</si>
  <si>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</si>
  <si>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</si>
  <si>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</si>
  <si>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</si>
  <si>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</si>
  <si>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</si>
  <si>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</si>
  <si>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</si>
  <si>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</si>
  <si>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</si>
  <si>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</si>
  <si>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</si>
  <si>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</si>
  <si>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</si>
  <si>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</si>
  <si>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</si>
  <si>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</si>
  <si>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</si>
  <si>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</si>
  <si>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</si>
  <si>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</si>
  <si>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</si>
  <si>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</si>
  <si>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</si>
  <si>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</si>
  <si>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</si>
  <si>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</si>
  <si>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</si>
  <si>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</si>
  <si>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</si>
  <si>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</si>
  <si>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</si>
  <si>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</si>
  <si>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</si>
  <si>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</si>
  <si>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</si>
  <si>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</si>
  <si>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</si>
  <si>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</si>
  <si>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</si>
  <si>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</si>
  <si>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</si>
  <si>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</si>
  <si>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</si>
  <si>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</si>
  <si>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</si>
  <si>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</si>
  <si>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</si>
  <si>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</si>
  <si>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</si>
  <si>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</si>
  <si>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</si>
  <si>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</si>
  <si>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</si>
  <si>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</si>
  <si>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</si>
  <si>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</si>
  <si>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</si>
  <si>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</si>
  <si>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</si>
  <si>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</si>
  <si>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</si>
  <si>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</si>
  <si>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</si>
  <si>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</si>
  <si>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</si>
  <si>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</si>
  <si>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</si>
  <si>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</si>
  <si>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</si>
  <si>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</si>
  <si>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</si>
  <si>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</si>
  <si>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</si>
  <si>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</si>
  <si>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</si>
  <si>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</si>
  <si>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</si>
  <si>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</si>
  <si>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</si>
  <si>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</si>
  <si>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</si>
  <si>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</si>
  <si>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</si>
  <si>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</si>
  <si>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</si>
  <si>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</si>
  <si>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</si>
  <si>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</si>
  <si>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</si>
  <si>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</si>
  <si>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</si>
  <si>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</si>
  <si>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</si>
  <si>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</si>
  <si>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</si>
  <si>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</si>
  <si>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</si>
  <si>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</si>
  <si>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</si>
  <si>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</si>
  <si>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</si>
  <si>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</si>
  <si>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</si>
  <si>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</si>
  <si>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</si>
  <si>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</si>
  <si>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</si>
  <si>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</si>
  <si>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</si>
  <si>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</si>
  <si>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</si>
  <si>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</si>
  <si>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</si>
  <si>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</si>
  <si>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</si>
  <si>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</si>
  <si>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</si>
  <si>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</si>
  <si>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</si>
  <si>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</si>
  <si>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</si>
  <si>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</si>
  <si>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</si>
  <si>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</si>
  <si>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</si>
  <si>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</si>
  <si>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</si>
  <si>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</si>
  <si>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</si>
  <si>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</si>
  <si>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</si>
  <si>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</si>
  <si>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</si>
  <si>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</si>
  <si>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</si>
  <si>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</si>
  <si>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</si>
  <si>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</si>
  <si>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</si>
  <si>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</si>
  <si>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</si>
  <si>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</si>
  <si>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</si>
  <si>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</si>
  <si>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</si>
  <si>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</si>
  <si>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</si>
  <si>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</si>
  <si>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</si>
  <si>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</si>
  <si>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</si>
  <si>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</si>
  <si>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</si>
  <si>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</si>
  <si>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</si>
  <si>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</si>
  <si>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</si>
  <si>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</si>
  <si>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</si>
  <si>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</si>
  <si>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</si>
  <si>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</si>
  <si>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</si>
  <si>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</si>
  <si>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</si>
  <si>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</si>
  <si>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</si>
  <si>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</si>
  <si>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</si>
  <si>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</si>
  <si>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</si>
  <si>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</si>
  <si>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</si>
  <si>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</si>
  <si>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</si>
  <si>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</si>
  <si>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</si>
  <si>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</si>
  <si>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</si>
  <si>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</si>
  <si>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</si>
  <si>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</si>
  <si>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</si>
  <si>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</si>
  <si>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</si>
  <si>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</si>
  <si>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</si>
  <si>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</si>
  <si>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</si>
  <si>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</si>
  <si>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</si>
  <si>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</si>
  <si>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</si>
  <si>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</si>
  <si>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</si>
  <si>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</si>
  <si>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</si>
  <si>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</si>
  <si>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</si>
  <si>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</si>
  <si>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</si>
  <si>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</si>
  <si>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</si>
  <si>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</si>
  <si>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</si>
  <si>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</si>
  <si>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</si>
  <si>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</si>
  <si>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</si>
  <si>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</si>
  <si>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</si>
  <si>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</si>
  <si>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</si>
  <si>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</si>
  <si>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</si>
  <si>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</si>
  <si>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</si>
  <si>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</si>
  <si>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</si>
  <si>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</si>
  <si>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</si>
  <si>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</si>
  <si>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</si>
  <si>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</si>
  <si>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</si>
  <si>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</si>
  <si>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</si>
  <si>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</si>
  <si>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</si>
  <si>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</si>
  <si>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</si>
  <si>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</si>
  <si>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</si>
  <si>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</si>
  <si>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</si>
  <si>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</si>
  <si>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</si>
  <si>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</si>
  <si>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</si>
  <si>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</si>
  <si>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</si>
  <si>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</si>
  <si>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</si>
  <si>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</si>
  <si>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</si>
  <si>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</si>
  <si>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</si>
  <si>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</si>
  <si>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</si>
  <si>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</si>
  <si>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</si>
  <si>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</si>
  <si>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</si>
  <si>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</si>
  <si>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</si>
  <si>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</si>
  <si>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</si>
  <si>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</si>
  <si>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</si>
  <si>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</si>
  <si>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</si>
  <si>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</si>
  <si>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</si>
  <si>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</si>
  <si>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</si>
  <si>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</si>
  <si>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</si>
  <si>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</si>
  <si>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</si>
  <si>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</si>
  <si>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</si>
  <si>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</si>
  <si>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</si>
  <si>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</si>
  <si>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</si>
  <si>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</si>
  <si>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</si>
  <si>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</si>
  <si>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</si>
  <si>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</si>
  <si>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</si>
  <si>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</si>
  <si>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</si>
  <si>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</si>
  <si>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</si>
  <si>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</si>
  <si>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</si>
  <si>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</si>
  <si>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</si>
  <si>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</si>
  <si>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</si>
  <si>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</si>
  <si>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</si>
  <si>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</si>
  <si>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</si>
  <si>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</si>
  <si>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</si>
  <si>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</si>
  <si>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</si>
  <si>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</si>
  <si>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</si>
  <si>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</si>
  <si>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</si>
  <si>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</si>
  <si>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</si>
  <si>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</si>
  <si>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</si>
  <si>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</si>
  <si>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</si>
  <si>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</si>
  <si>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</si>
  <si>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</si>
  <si>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</si>
  <si>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</si>
  <si>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</si>
  <si>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</si>
  <si>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</si>
  <si>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</si>
  <si>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</si>
  <si>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</si>
  <si>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</si>
  <si>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</si>
  <si>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</si>
  <si>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</si>
  <si>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</si>
  <si>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</si>
  <si>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</si>
  <si>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</si>
  <si>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</si>
  <si>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</si>
  <si>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</si>
  <si>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</si>
  <si>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</si>
  <si>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</si>
  <si>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</si>
  <si>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</si>
  <si>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</si>
  <si>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</si>
  <si>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</si>
  <si>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</si>
  <si>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</si>
  <si>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</si>
  <si>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</si>
  <si>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</si>
  <si>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</si>
  <si>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</si>
  <si>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</si>
  <si>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</si>
  <si>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</si>
  <si>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</si>
  <si>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</si>
  <si>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</si>
  <si>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</si>
  <si>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</si>
  <si>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</si>
  <si>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</si>
  <si>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</si>
  <si>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</si>
  <si>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</si>
  <si>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</si>
  <si>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</si>
  <si>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</si>
  <si>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</si>
  <si>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</si>
  <si>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</si>
  <si>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</si>
  <si>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</si>
  <si>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</si>
  <si>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</si>
  <si>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</si>
  <si>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</si>
  <si>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</si>
  <si>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</si>
  <si>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</si>
  <si>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</si>
  <si>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</si>
  <si>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</si>
  <si>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</si>
  <si>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</si>
  <si>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</si>
  <si>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</si>
  <si>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</si>
  <si>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</si>
  <si>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</si>
  <si>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</si>
  <si>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</si>
  <si>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</si>
  <si>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</si>
  <si>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</si>
  <si>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</si>
  <si>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</si>
  <si>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</si>
  <si>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</si>
  <si>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</si>
  <si>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</si>
  <si>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</si>
  <si>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</si>
  <si>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</si>
  <si>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</si>
  <si>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</si>
  <si>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</si>
  <si>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</si>
  <si>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</si>
  <si>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</si>
  <si>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</si>
  <si>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</si>
  <si>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</si>
  <si>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</si>
  <si>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</si>
  <si>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</si>
  <si>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</si>
  <si>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</si>
  <si>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</si>
  <si>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</si>
  <si>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</si>
  <si>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</si>
  <si>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</si>
  <si>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</si>
  <si>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</si>
  <si>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</si>
  <si>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</si>
  <si>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</si>
  <si>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</si>
  <si>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</si>
  <si>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</si>
  <si>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</si>
  <si>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</si>
  <si>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</si>
  <si>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</si>
  <si>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</si>
  <si>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</si>
  <si>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</si>
  <si>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</si>
  <si>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</si>
  <si>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</si>
  <si>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</si>
  <si>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</si>
  <si>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</si>
  <si>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</si>
  <si>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</si>
  <si>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</si>
  <si>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</si>
  <si>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</si>
  <si>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</si>
  <si>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</si>
  <si>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</si>
  <si>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</si>
  <si>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</si>
  <si>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</si>
  <si>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</si>
  <si>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</si>
  <si>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</si>
  <si>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</si>
  <si>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</si>
  <si>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</si>
  <si>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</si>
  <si>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</si>
  <si>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</si>
  <si>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</si>
  <si>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</si>
  <si>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</si>
  <si>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</si>
  <si>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</si>
  <si>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</si>
  <si>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</si>
  <si>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</si>
  <si>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</si>
  <si>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</si>
  <si>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</si>
  <si>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</si>
  <si>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</si>
  <si>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</si>
  <si>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</si>
  <si>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</si>
  <si>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</si>
  <si>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</si>
  <si>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</si>
  <si>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</si>
  <si>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</si>
  <si>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</si>
  <si>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</si>
  <si>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</si>
  <si>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</si>
  <si>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</si>
  <si>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</si>
  <si>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</si>
  <si>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</si>
  <si>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</si>
  <si>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</si>
  <si>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</si>
  <si>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</si>
  <si>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</si>
  <si>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</si>
  <si>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</si>
  <si>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</si>
  <si>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</si>
  <si>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</si>
  <si>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</si>
  <si>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</si>
  <si>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</si>
  <si>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</si>
  <si>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</si>
  <si>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</si>
  <si>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</si>
  <si>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</si>
  <si>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</si>
  <si>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</si>
  <si>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</si>
  <si>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</si>
  <si>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</si>
  <si>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</si>
  <si>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</si>
  <si>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</si>
  <si>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</si>
  <si>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</si>
  <si>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</si>
  <si>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</si>
  <si>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</si>
  <si>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</si>
  <si>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</si>
  <si>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</si>
  <si>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</si>
  <si>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</si>
  <si>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</si>
  <si>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</si>
  <si>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</si>
  <si>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</si>
  <si>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</si>
  <si>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</si>
  <si>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</si>
  <si>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</si>
  <si>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</si>
  <si>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</si>
  <si>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</si>
  <si>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</si>
  <si>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</si>
  <si>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</si>
  <si>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</si>
  <si>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</si>
  <si>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</si>
  <si>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</si>
  <si>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</si>
  <si>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</si>
  <si>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</si>
  <si>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</si>
  <si>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</si>
  <si>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</si>
  <si>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</si>
  <si>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</si>
  <si>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</si>
  <si>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</si>
  <si>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</si>
  <si>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</si>
  <si>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</si>
  <si>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</si>
  <si>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</si>
  <si>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</si>
  <si>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</si>
  <si>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</si>
  <si>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</si>
  <si>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</si>
  <si>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</si>
  <si>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</si>
  <si>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</si>
  <si>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</si>
  <si>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</si>
  <si>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</si>
  <si>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</si>
  <si>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</si>
  <si>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</si>
  <si>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</si>
  <si>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</si>
  <si>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</si>
  <si>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</si>
  <si>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</si>
  <si>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</si>
  <si>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</si>
  <si>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</si>
  <si>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</si>
  <si>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</si>
  <si>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</si>
  <si>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</si>
  <si>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</si>
  <si>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</si>
  <si>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</si>
  <si>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</si>
  <si>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</si>
  <si>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</si>
  <si>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</si>
  <si>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</si>
  <si>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</si>
  <si>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</si>
  <si>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</si>
  <si>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</si>
  <si>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</si>
  <si>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</si>
  <si>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</si>
  <si>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</si>
  <si>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</si>
  <si>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</si>
  <si>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</si>
  <si>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</si>
  <si>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</si>
  <si>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</si>
  <si>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</si>
  <si>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</si>
  <si>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</si>
  <si>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</si>
  <si>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</si>
  <si>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</si>
  <si>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</si>
  <si>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</si>
  <si>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</si>
  <si>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</si>
  <si>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</si>
  <si>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</si>
  <si>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</si>
  <si>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</si>
  <si>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</si>
  <si>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</si>
  <si>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</si>
  <si>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</si>
  <si>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</si>
  <si>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</si>
  <si>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</si>
  <si>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</si>
  <si>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</si>
  <si>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</si>
  <si>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</si>
  <si>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</si>
  <si>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</si>
  <si>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</si>
  <si>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</si>
  <si>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</si>
  <si>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</si>
  <si>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</si>
  <si>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</si>
  <si>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</si>
  <si>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</si>
  <si>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</si>
  <si>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</si>
  <si>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</si>
  <si>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</si>
  <si>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</si>
  <si>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</si>
  <si>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</si>
  <si>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</si>
  <si>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</si>
  <si>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</si>
  <si>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</si>
  <si>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</si>
  <si>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</si>
  <si>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</si>
  <si>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</si>
  <si>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</si>
  <si>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</si>
  <si>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</si>
  <si>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</si>
  <si>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</si>
  <si>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</si>
  <si>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</si>
  <si>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</si>
  <si>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</si>
  <si>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</si>
  <si>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</si>
  <si>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</si>
  <si>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</si>
  <si>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</si>
  <si>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</si>
  <si>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</si>
  <si>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</si>
  <si>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</si>
  <si>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</si>
  <si>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</si>
  <si>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</si>
  <si>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</si>
  <si>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</si>
  <si>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</si>
  <si>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</si>
  <si>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</si>
  <si>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</si>
  <si>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</si>
  <si>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</si>
  <si>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</si>
  <si>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</si>
  <si>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</si>
  <si>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</si>
  <si>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</si>
  <si>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</si>
  <si>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</si>
  <si>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</si>
  <si>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</si>
  <si>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</si>
  <si>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</si>
  <si>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</si>
  <si>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</si>
  <si>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</si>
  <si>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</si>
  <si>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</si>
  <si>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</si>
  <si>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</si>
  <si>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</si>
  <si>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</si>
  <si>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</si>
  <si>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</si>
  <si>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</si>
  <si>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</si>
  <si>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</si>
  <si>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</si>
  <si>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</si>
  <si>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</si>
  <si>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</si>
  <si>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</si>
  <si>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</si>
  <si>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</si>
  <si>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</si>
  <si>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</si>
  <si>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</si>
  <si>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</si>
  <si>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</si>
  <si>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</si>
  <si>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</si>
  <si>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</si>
  <si>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</si>
  <si>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</si>
  <si>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</si>
  <si>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</si>
  <si>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</si>
  <si>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</si>
  <si>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</si>
  <si>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</si>
  <si>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</si>
  <si>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</si>
  <si>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</si>
  <si>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</si>
  <si>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</si>
  <si>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</si>
  <si>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</si>
  <si>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</si>
  <si>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</si>
  <si>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</si>
  <si>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</si>
  <si>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</si>
  <si>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</si>
  <si>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</si>
  <si>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</si>
  <si>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</si>
  <si>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</si>
  <si>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</si>
  <si>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</si>
  <si>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</si>
  <si>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</si>
  <si>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</si>
  <si>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</si>
  <si>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</si>
  <si>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</si>
  <si>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</si>
  <si>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</si>
  <si>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</si>
  <si>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</si>
  <si>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</si>
  <si>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</si>
  <si>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</si>
  <si>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</si>
  <si>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</si>
  <si>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</si>
  <si>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</si>
  <si>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</si>
  <si>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</si>
  <si>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</si>
  <si>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</si>
  <si>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</si>
  <si>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</si>
  <si>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</si>
  <si>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</si>
  <si>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</si>
  <si>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</si>
  <si>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</si>
  <si>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</si>
  <si>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</si>
  <si>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</si>
  <si>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</si>
  <si>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</si>
  <si>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</si>
  <si>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</si>
  <si>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</si>
  <si>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</si>
  <si>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</si>
  <si>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</si>
  <si>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</si>
  <si>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</si>
  <si>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</si>
  <si>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</si>
  <si>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</si>
  <si>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</si>
  <si>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</si>
  <si>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</si>
  <si>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</si>
  <si>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</si>
  <si>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</si>
  <si>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</si>
  <si>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</si>
  <si>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</si>
  <si>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</si>
  <si>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</si>
  <si>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</si>
  <si>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</si>
  <si>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</si>
  <si>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</si>
  <si>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</si>
  <si>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</si>
  <si>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</si>
  <si>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</si>
  <si>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</si>
  <si>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</si>
  <si>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</si>
  <si>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</si>
  <si>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</si>
  <si>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</si>
  <si>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</si>
  <si>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</si>
  <si>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</si>
  <si>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</si>
  <si>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</si>
  <si>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</si>
  <si>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</si>
  <si>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</si>
  <si>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</si>
  <si>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</si>
  <si>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</si>
  <si>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</si>
  <si>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</si>
  <si>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</si>
  <si>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</si>
  <si>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</si>
  <si>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</si>
  <si>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</si>
  <si>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</si>
  <si>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</si>
  <si>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</si>
  <si>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</si>
  <si>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</si>
  <si>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</si>
  <si>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</si>
  <si>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</si>
  <si>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</si>
  <si>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</si>
  <si>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</si>
  <si>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</si>
  <si>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</si>
  <si>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</si>
  <si>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</si>
  <si>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</si>
  <si>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</si>
  <si>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</si>
  <si>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</si>
  <si>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</si>
  <si>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</si>
  <si>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</si>
  <si>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</si>
  <si>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</si>
  <si>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</si>
  <si>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</si>
  <si>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</si>
  <si>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</si>
  <si>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</si>
  <si>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</si>
  <si>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</si>
  <si>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</si>
  <si>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</si>
  <si>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</si>
  <si>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</si>
  <si>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</si>
  <si>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</si>
  <si>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</si>
  <si>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</si>
  <si>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</si>
  <si>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</si>
  <si>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</si>
  <si>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</si>
  <si>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</si>
  <si>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</si>
  <si>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</si>
  <si>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</si>
  <si>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</si>
  <si>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</si>
  <si>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</si>
  <si>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</si>
  <si>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</si>
  <si>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</si>
  <si>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</si>
  <si>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</si>
  <si>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</si>
  <si>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</si>
  <si>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</si>
  <si>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</si>
  <si>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</si>
  <si>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</si>
  <si>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</si>
  <si>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</si>
  <si>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</si>
  <si>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</si>
  <si>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</si>
  <si>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</si>
  <si>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</si>
  <si>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</si>
  <si>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</si>
  <si>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</si>
  <si>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</si>
  <si>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</si>
  <si>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</si>
  <si>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</si>
  <si>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</si>
  <si>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</si>
  <si>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</si>
  <si>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</si>
  <si>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</si>
  <si>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</si>
  <si>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</si>
  <si>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</si>
  <si>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</si>
  <si>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</si>
  <si>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</si>
  <si>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</si>
  <si>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</si>
  <si>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</si>
  <si>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</si>
  <si>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</si>
  <si>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</si>
  <si>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</si>
  <si>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</si>
  <si>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</si>
  <si>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</si>
  <si>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</si>
  <si>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</si>
  <si>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</si>
  <si>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</si>
  <si>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</si>
  <si>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</si>
  <si>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</si>
  <si>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</si>
  <si>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</si>
  <si>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</si>
  <si>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</si>
  <si>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</si>
  <si>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</si>
  <si>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</si>
  <si>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</si>
  <si>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</si>
  <si>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</si>
  <si>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</si>
  <si>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</si>
  <si>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</si>
  <si>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</si>
  <si>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</si>
  <si>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</si>
  <si>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</si>
  <si>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</si>
  <si>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</si>
  <si>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</si>
  <si>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</si>
  <si>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</si>
  <si>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</si>
  <si>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</si>
  <si>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</si>
  <si>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</si>
  <si>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</si>
  <si>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</si>
  <si>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</si>
  <si>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</si>
  <si>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</si>
  <si>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</si>
  <si>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</si>
  <si>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</si>
  <si>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</si>
  <si>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</si>
  <si>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</si>
  <si>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</si>
  <si>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</si>
  <si>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</si>
  <si>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</si>
  <si>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</si>
  <si>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</si>
  <si>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</si>
  <si>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</si>
  <si>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</si>
  <si>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</si>
  <si>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</si>
  <si>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</si>
  <si>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</si>
  <si>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</si>
  <si>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</si>
  <si>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</si>
  <si>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</si>
  <si>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</si>
  <si>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</si>
  <si>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</si>
  <si>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</si>
  <si>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</si>
  <si>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</si>
  <si>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</si>
  <si>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</si>
  <si>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</si>
  <si>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Avg. Donation</t>
  </si>
  <si>
    <t>Num. of Backers</t>
  </si>
  <si>
    <t>Successful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</si>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</sst>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04-5446-9490-12FECBE630C0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04-5446-9490-12FECBE630C0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04-5446-9490-12FECBE63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7016175"/>
        <c:axId val="757017823"/>
      </c:lineChart>
      <c:catAx>
        <c:axId val="75701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17823"/>
        <c:crosses val="autoZero"/>
        <c:auto val="1"/>
        <c:lblAlgn val="ctr"/>
        <c:lblOffset val="100"/>
        <c:noMultiLvlLbl val="0"/>
      </c:catAx>
      <c:valAx>
        <c:axId val="75701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1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EE-F240-9D4E-CBDD25601FC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EE-F240-9D4E-CBDD25601FC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EE-F240-9D4E-CBDD25601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268287"/>
        <c:axId val="449896175"/>
      </c:lineChart>
      <c:catAx>
        <c:axId val="41326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896175"/>
        <c:crosses val="autoZero"/>
        <c:auto val="1"/>
        <c:lblAlgn val="ctr"/>
        <c:lblOffset val="100"/>
        <c:noMultiLvlLbl val="0"/>
      </c:catAx>
      <c:valAx>
        <c:axId val="4498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6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0-9342-BB89-C47F8C46CA7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30-9342-BB89-C47F8C46CA7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30-9342-BB89-C47F8C46CA7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930-9342-BB89-C47F8C46C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608559"/>
        <c:axId val="1245620015"/>
      </c:barChart>
      <c:catAx>
        <c:axId val="20860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620015"/>
        <c:crosses val="autoZero"/>
        <c:auto val="1"/>
        <c:lblAlgn val="ctr"/>
        <c:lblOffset val="100"/>
        <c:noMultiLvlLbl val="0"/>
      </c:catAx>
      <c:valAx>
        <c:axId val="124562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0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6F-AC4B-9FBC-BC14666108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06F-AC4B-9FBC-BC14666108F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06F-AC4B-9FBC-BC1466610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1683503"/>
        <c:axId val="1231205135"/>
      </c:barChart>
      <c:catAx>
        <c:axId val="123168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205135"/>
        <c:crosses val="autoZero"/>
        <c:auto val="1"/>
        <c:lblAlgn val="ctr"/>
        <c:lblOffset val="100"/>
        <c:noMultiLvlLbl val="0"/>
      </c:catAx>
      <c:valAx>
        <c:axId val="123120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68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Bases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Bases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E-5642-8819-BA28340DFCA5}"/>
            </c:ext>
          </c:extLst>
        </c:ser>
        <c:ser>
          <c:idx val="1"/>
          <c:order val="1"/>
          <c:tx>
            <c:strRef>
              <c:f>'Outcomes Bases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65E-5642-8819-BA28340DFCA5}"/>
            </c:ext>
          </c:extLst>
        </c:ser>
        <c:ser>
          <c:idx val="2"/>
          <c:order val="2"/>
          <c:tx>
            <c:strRef>
              <c:f>'Outcomes Bases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65E-5642-8819-BA28340DFCA5}"/>
            </c:ext>
          </c:extLst>
        </c:ser>
        <c:ser>
          <c:idx val="3"/>
          <c:order val="3"/>
          <c:tx>
            <c:strRef>
              <c:f>'Outcomes Bases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Bases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Bases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65E-5642-8819-BA28340DF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5691775"/>
        <c:axId val="1265791599"/>
      </c:lineChart>
      <c:catAx>
        <c:axId val="126569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91599"/>
        <c:crosses val="autoZero"/>
        <c:auto val="1"/>
        <c:lblAlgn val="ctr"/>
        <c:lblOffset val="100"/>
        <c:noMultiLvlLbl val="0"/>
      </c:catAx>
      <c:valAx>
        <c:axId val="126579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69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14</xdr:row>
      <xdr:rowOff>63500</xdr:rowOff>
    </xdr:from>
    <xdr:to>
      <xdr:col>14</xdr:col>
      <xdr:colOff>50800</xdr:colOff>
      <xdr:row>41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B39E76-343E-1A42-BB39-6DC5655EC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5</xdr:row>
      <xdr:rowOff>63500</xdr:rowOff>
    </xdr:from>
    <xdr:to>
      <xdr:col>16</xdr:col>
      <xdr:colOff>88900</xdr:colOff>
      <xdr:row>28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4BD290-191D-B94F-95A0-F799B5562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7</xdr:row>
      <xdr:rowOff>25400</xdr:rowOff>
    </xdr:from>
    <xdr:to>
      <xdr:col>17</xdr:col>
      <xdr:colOff>228600</xdr:colOff>
      <xdr:row>41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9B395-2BAB-2B4D-8C9F-9CF702D1C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5</xdr:row>
      <xdr:rowOff>38100</xdr:rowOff>
    </xdr:from>
    <xdr:to>
      <xdr:col>17</xdr:col>
      <xdr:colOff>406400</xdr:colOff>
      <xdr:row>43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A15C9-0FC1-D74C-AA02-F3B5CC3B6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8</xdr:row>
      <xdr:rowOff>152400</xdr:rowOff>
    </xdr:from>
    <xdr:to>
      <xdr:col>17</xdr:col>
      <xdr:colOff>355600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F650F-C862-5140-92EF-ACB75277D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Baldassarre" refreshedDate="44620.287291203706" createdVersion="7" refreshedVersion="7" minRefreshableVersion="3" recordCount="4114" xr:uid="{D4BFE12C-DE64-C648-9F6A-6DE40740142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Baldassarre" refreshedDate="44620.310673263892" createdVersion="7" refreshedVersion="7" minRefreshableVersion="3" recordCount="4118" xr:uid="{A6F9B662-4EFF-7840-AF11-E87AAAE9962D}">
  <cacheSource type="worksheet">
    <worksheetSource ref="A1:T4119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holas Baldassarre" refreshedDate="44623.302338657406" createdVersion="7" refreshedVersion="7" minRefreshableVersion="3" recordCount="4118" xr:uid="{106400C0-449A-E949-B713-F51EDEEE62FE}">
  <cacheSource type="worksheet">
    <worksheetSource ref="A1:U4119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3C011-B300-084D-85EB-B36FCFA998F6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9F5AE-0CDE-6B42-8AAE-9A1AC9105B10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56C2AE-E153-E946-B843-7F3A8E61D0B9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37346-A31D-374F-9946-18DC30602681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9"/>
  <sheetViews>
    <sheetView zoomScale="191" zoomScaleNormal="22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7" max="17" width="41.1640625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9" t="s">
        <v>8365</v>
      </c>
      <c r="T1" s="9" t="s">
        <v>8366</v>
      </c>
      <c r="U1" s="17" t="s">
        <v>8398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9" si="322">(((J4099/60)/60)/24)+DATE(1970,1,1)</f>
        <v>42344.824502314819</v>
      </c>
      <c r="T4099" s="14">
        <f t="shared" ref="T4099:T4119" si="323">(((I4099/60)/60)/24)+DATE(1970,1,1)</f>
        <v>42400.996527777781</v>
      </c>
      <c r="U4099">
        <f t="shared" ref="U4099:U4119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  <row r="4116" spans="1:21" hidden="1" x14ac:dyDescent="0.2">
      <c r="S4116" s="14">
        <f t="shared" si="322"/>
        <v>25569</v>
      </c>
      <c r="T4116" s="14">
        <f t="shared" si="323"/>
        <v>25569</v>
      </c>
      <c r="U4116">
        <f t="shared" si="324"/>
        <v>1970</v>
      </c>
    </row>
    <row r="4117" spans="1:21" hidden="1" x14ac:dyDescent="0.2">
      <c r="S4117" s="14">
        <f t="shared" si="322"/>
        <v>25569</v>
      </c>
      <c r="T4117" s="14">
        <f t="shared" si="323"/>
        <v>25569</v>
      </c>
      <c r="U4117">
        <f t="shared" si="324"/>
        <v>1970</v>
      </c>
    </row>
    <row r="4118" spans="1:21" hidden="1" x14ac:dyDescent="0.2">
      <c r="S4118" s="14">
        <f t="shared" si="322"/>
        <v>25569</v>
      </c>
      <c r="T4118" s="14">
        <f t="shared" si="323"/>
        <v>25569</v>
      </c>
      <c r="U4118">
        <f t="shared" si="324"/>
        <v>1970</v>
      </c>
    </row>
    <row r="4119" spans="1:21" hidden="1" x14ac:dyDescent="0.2">
      <c r="S4119" s="14">
        <f t="shared" si="322"/>
        <v>25569</v>
      </c>
      <c r="T4119" s="14">
        <f t="shared" si="323"/>
        <v>25569</v>
      </c>
      <c r="U4119">
        <f t="shared" si="324"/>
        <v>1970</v>
      </c>
    </row>
  </sheetData>
  <autoFilter ref="A1:T4119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206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0CD70-6E5A-6044-B5B7-831C9ADD61FB}">
  <dimension ref="A1:H13"/>
  <sheetViews>
    <sheetView tabSelected="1" topLeftCell="A3" workbookViewId="0">
      <selection activeCell="C4" sqref="C4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7" t="s">
        <v>8381</v>
      </c>
      <c r="B1" s="17" t="s">
        <v>8399</v>
      </c>
      <c r="C1" s="17" t="s">
        <v>8400</v>
      </c>
      <c r="D1" s="17" t="s">
        <v>8401</v>
      </c>
      <c r="E1" s="17" t="s">
        <v>8402</v>
      </c>
      <c r="F1" s="17" t="s">
        <v>8403</v>
      </c>
      <c r="G1" s="17" t="s">
        <v>8404</v>
      </c>
      <c r="H1" s="17" t="s">
        <v>8405</v>
      </c>
    </row>
    <row r="2" spans="1:8" x14ac:dyDescent="0.2">
      <c r="A2" t="s">
        <v>8406</v>
      </c>
      <c r="B2">
        <f>COUNTIFS(Kickstarter!$F:$F,"successful", Kickstarter!$D:$D, "&lt;1000", Kickstarter!$R:$R, "plays")</f>
        <v>141</v>
      </c>
      <c r="C2">
        <f>COUNTIFS(Kickstarter!$F:$F,"failed", Kickstarter!$D:$D, "&lt;1000", Kickstarter!$R:$R, "plays")</f>
        <v>45</v>
      </c>
      <c r="D2">
        <f>COUNTIFS(Kickstarter!$F:$F,"canceled", Kickstarter!$D:$D, "&lt;1000", Kickstarter!$R:$R, "plays")</f>
        <v>0</v>
      </c>
      <c r="E2">
        <f>SUM(B2:D2)</f>
        <v>186</v>
      </c>
      <c r="F2" s="18">
        <f>(B2/E2)</f>
        <v>0.75806451612903225</v>
      </c>
      <c r="G2" s="18">
        <f>(C2/E2)</f>
        <v>0.24193548387096775</v>
      </c>
      <c r="H2" s="18">
        <f>(D2/E2)</f>
        <v>0</v>
      </c>
    </row>
    <row r="3" spans="1:8" x14ac:dyDescent="0.2">
      <c r="A3" t="s">
        <v>8407</v>
      </c>
      <c r="B3">
        <f>COUNTIFS(Kickstarter!$F:$F,"successful", Kickstarter!$D:$D, "&gt;=1000", Kickstarter!$D:$D, "&lt;=4999", Kickstarter!$R:$R, "plays")</f>
        <v>388</v>
      </c>
      <c r="C3">
        <f>COUNTIFS(Kickstarter!$F:$F,"failed", Kickstarter!$D:$D, "&gt;=1000", Kickstarter!$D:$D, "&lt;=4999", Kickstarter!$R:$R, "plays")</f>
        <v>146</v>
      </c>
      <c r="D3">
        <f>COUNTIFS(Kickstarter!$F:$F,"canceled", Kickstarter!$D:$D, "&gt;=1000", Kickstarter!$D:$D, "&lt;=4999", Kickstarter!$R:$R, "plays")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8">
        <f t="shared" ref="G3:G13" si="2">(C3/E3)</f>
        <v>0.27340823970037453</v>
      </c>
      <c r="H3" s="18">
        <f t="shared" ref="H3:H13" si="3">(D3/E3)</f>
        <v>0</v>
      </c>
    </row>
    <row r="4" spans="1:8" x14ac:dyDescent="0.2">
      <c r="A4" t="s">
        <v>8408</v>
      </c>
      <c r="B4">
        <f>COUNTIFS(Kickstarter!$F:$F,"successful", Kickstarter!$D:$D, "&gt;=5000", Kickstarter!$D:$D, "&lt;=9999", Kickstarter!$R:$R, "plays")</f>
        <v>93</v>
      </c>
      <c r="C4">
        <f>COUNTIFS(Kickstarter!$F:$F,"failed", Kickstarter!$D:$D, "&gt;=5000", Kickstarter!$D:$D, "&lt;=9999", Kickstarter!$R:$R, "plays")</f>
        <v>76</v>
      </c>
      <c r="D4">
        <f>COUNTIFS(Kickstarter!$F:$F,"canceled", Kickstarter!$D:$D, "&gt;=5000", Kickstarter!$D:$D, "&lt;=9999", 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8409</v>
      </c>
      <c r="B5">
        <f>COUNTIFS(Kickstarter!$F:$F,"successful", Kickstarter!$D:$D, "&gt;=10000", Kickstarter!$D:$D, "&lt;=14999", Kickstarter!$R:$R, "plays")</f>
        <v>39</v>
      </c>
      <c r="C5">
        <f>COUNTIFS(Kickstarter!$F:$F,"failed", Kickstarter!$D:$D, "&gt;=10000", Kickstarter!$D:$D, "&lt;=14999", Kickstarter!$R:$R, "plays")</f>
        <v>33</v>
      </c>
      <c r="D5">
        <f>COUNTIFS(Kickstarter!$F:$F,"canceled", Kickstarter!$D:$D, "&gt;=10000", Kickstarter!$D:$D, "&lt;=14999", 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8410</v>
      </c>
      <c r="B6">
        <f>COUNTIFS(Kickstarter!$F:$F,"successful", Kickstarter!$D:$D, "&gt;=15000", Kickstarter!$D:$D, "&lt;=19999", Kickstarter!$R:$R, "plays")</f>
        <v>12</v>
      </c>
      <c r="C6">
        <f>COUNTIFS(Kickstarter!$F:$F,"failed", Kickstarter!$D:$D, "&gt;=15000", Kickstarter!$D:$D, "&lt;=19999", Kickstarter!$R:$R, "plays")</f>
        <v>12</v>
      </c>
      <c r="D6">
        <f>COUNTIFS(Kickstarter!$F:$F,"canceled", Kickstarter!$D:$D, "&gt;=15000", Kickstarter!$D:$D, "&lt;=19999", 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8411</v>
      </c>
      <c r="B7">
        <f>COUNTIFS(Kickstarter!$F:$F,"successful", Kickstarter!$D:$D, "&gt;=20000", Kickstarter!$D:$D, "&lt;=24999", Kickstarter!$R:$R, "plays")</f>
        <v>9</v>
      </c>
      <c r="C7">
        <f>COUNTIFS(Kickstarter!$F:$F,"failed", Kickstarter!$D:$D, "&gt;=20000", Kickstarter!$D:$D, "&lt;=24999", Kickstarter!$R:$R, "plays")</f>
        <v>11</v>
      </c>
      <c r="D7">
        <f>COUNTIFS(Kickstarter!$F:$F,"canceled", Kickstarter!$D:$D, "&gt;=20000", Kickstarter!$D:$D, "&lt;=24999", 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8412</v>
      </c>
      <c r="B8">
        <f>COUNTIFS(Kickstarter!$F:$F,"successful", Kickstarter!$D:$D, "&gt;=25000", Kickstarter!$D:$D, "&lt;=29999", Kickstarter!$R:$R, "plays")</f>
        <v>1</v>
      </c>
      <c r="C8">
        <f>COUNTIFS(Kickstarter!$F:$F,"failed", Kickstarter!$D:$D, "&gt;=25000", Kickstarter!$D:$D, "&lt;=29999", Kickstarter!$R:$R, "plays")</f>
        <v>4</v>
      </c>
      <c r="D8">
        <f>COUNTIFS(Kickstarter!$F:$F,"canceled", Kickstarter!$D:$D, "&gt;=25000", Kickstarter!$D:$D, "&lt;=29999", 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8413</v>
      </c>
      <c r="B9">
        <f>COUNTIFS(Kickstarter!$F:$F,"successful", Kickstarter!$D:$D, "&gt;=30000", Kickstarter!$D:$D, "&lt;=34999", Kickstarter!$R:$R, "plays")</f>
        <v>3</v>
      </c>
      <c r="C9">
        <f>COUNTIFS(Kickstarter!$F:$F,"failed", Kickstarter!$D:$D, "&gt;=30000", Kickstarter!$D:$D, "&lt;=34999", Kickstarter!$R:$R, "plays")</f>
        <v>8</v>
      </c>
      <c r="D9">
        <f>COUNTIFS(Kickstarter!$F:$F,"canceled", Kickstarter!$D:$D, "&gt;=30000", Kickstarter!$D:$D, "&lt;=34999", 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8414</v>
      </c>
      <c r="B10">
        <f>COUNTIFS(Kickstarter!$F:$F,"successful", Kickstarter!$D:$D, "&gt;=35000", Kickstarter!$D:$D, "&lt;=39999", Kickstarter!$R:$R, "plays")</f>
        <v>4</v>
      </c>
      <c r="C10">
        <f>COUNTIFS(Kickstarter!$F:$F,"failed", Kickstarter!$D:$D, "&gt;=35000", Kickstarter!$D:$D, "&lt;=39999", Kickstarter!$R:$R, "plays")</f>
        <v>2</v>
      </c>
      <c r="D10">
        <f>COUNTIFS(Kickstarter!$F:$F,"canceled", Kickstarter!$D:$D, "&gt;=35000", Kickstarter!$D:$D, "&lt;=39999", 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8415</v>
      </c>
      <c r="B11">
        <f>COUNTIFS(Kickstarter!$F:$F,"successful", Kickstarter!$D:$D, "&gt;=40000", Kickstarter!$D:$D, "&lt;=44999", Kickstarter!$R:$R, "plays")</f>
        <v>2</v>
      </c>
      <c r="C11">
        <f>COUNTIFS(Kickstarter!$F:$F,"failed", Kickstarter!$D:$D, "&gt;=40000", Kickstarter!$D:$D, "&lt;=44999", Kickstarter!$R:$R, "plays")</f>
        <v>1</v>
      </c>
      <c r="D11">
        <f>COUNTIFS(Kickstarter!$F:$F,"canceled", Kickstarter!$D:$D, "&gt;=40000", Kickstarter!$D:$D, "&lt;=44999", 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8416</v>
      </c>
      <c r="B12">
        <f>COUNTIFS(Kickstarter!$F:$F,"successful", Kickstarter!$D:$D, "&gt;=45000", Kickstarter!$D:$D, "&lt;=49999", Kickstarter!$R:$R, "plays")</f>
        <v>0</v>
      </c>
      <c r="C12">
        <f>COUNTIFS(Kickstarter!$F:$F,"failed", Kickstarter!$D:$D, "&gt;=45000", Kickstarter!$D:$D, "&lt;=49999", Kickstarter!$R:$R, "plays")</f>
        <v>1</v>
      </c>
      <c r="D12">
        <f>COUNTIFS(Kickstarter!$F:$F,"canceled", Kickstarter!$D:$D, "&gt;=45000", Kickstarter!$D:$D, "&lt;=49999", 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8417</v>
      </c>
      <c r="B13">
        <f>COUNTIFS(Kickstarter!$F:$F,"successful", Kickstarter!$D:$D, "&gt;50000", Kickstarter!$R:$R, "plays")</f>
        <v>2</v>
      </c>
      <c r="C13">
        <f>COUNTIFS(Kickstarter!$F:$F,"failed", Kickstarter!$D:$D, "&gt;50000", Kickstarter!$R:$R, "plays")</f>
        <v>10</v>
      </c>
      <c r="D13">
        <f>COUNTIFS(Kickstarter!$F:$F,"canceled", Kickstarter!$D:$D, "&gt;50000", Kickstarter!$R:$R, 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honeticPr fontId="3" type="noConversion"/>
  <pageMargins left="0.7" right="0.7" top="0.75" bottom="0.75" header="0.3" footer="0.3"/>
  <ignoredErrors>
    <ignoredError sqref="C2:C1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0CF-6CCE-ED4D-B7F1-CB8D976EFE96}">
  <dimension ref="A1:E18"/>
  <sheetViews>
    <sheetView workbookViewId="0">
      <selection activeCell="F1" sqref="F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8367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DEF6D-C42F-314E-A563-A5CB94FD1503}">
  <dimension ref="A1:F14"/>
  <sheetViews>
    <sheetView workbookViewId="0">
      <selection activeCell="C1" sqref="C1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6" x14ac:dyDescent="0.2">
      <c r="B1" t="s">
        <v>8385</v>
      </c>
      <c r="C1" t="s">
        <v>8418</v>
      </c>
    </row>
    <row r="2" spans="1:6" x14ac:dyDescent="0.2">
      <c r="A2" t="s">
        <v>8386</v>
      </c>
      <c r="B2" s="16" t="e">
        <f>AVERAGE(#REF!)</f>
        <v>#REF!</v>
      </c>
      <c r="C2" s="16" t="e">
        <f>AVERAGE(#REF!)</f>
        <v>#REF!</v>
      </c>
    </row>
    <row r="3" spans="1:6" x14ac:dyDescent="0.2">
      <c r="A3" t="s">
        <v>8387</v>
      </c>
      <c r="B3" s="16" t="e">
        <f>MEDIAN(#REF!)</f>
        <v>#REF!</v>
      </c>
      <c r="C3" s="16" t="e">
        <f>MEDIAN(#REF!)</f>
        <v>#REF!</v>
      </c>
    </row>
    <row r="4" spans="1:6" x14ac:dyDescent="0.2">
      <c r="A4" t="s">
        <v>8390</v>
      </c>
      <c r="B4" s="16" t="e">
        <f>_xlfn.STDEV.P(#REF!)</f>
        <v>#REF!</v>
      </c>
      <c r="C4" s="16" t="e">
        <f>_xlfn.STDEV.P(#REF!)</f>
        <v>#REF!</v>
      </c>
    </row>
    <row r="5" spans="1:6" x14ac:dyDescent="0.2">
      <c r="A5" t="s">
        <v>8391</v>
      </c>
      <c r="B5" s="16" t="e">
        <f>_xlfn.QUARTILE.EXC(#REF!,3)</f>
        <v>#REF!</v>
      </c>
      <c r="C5" s="16" t="e">
        <f>_xlfn.QUARTILE.EXC(#REF!,3)</f>
        <v>#REF!</v>
      </c>
    </row>
    <row r="6" spans="1:6" x14ac:dyDescent="0.2">
      <c r="A6" t="s">
        <v>8392</v>
      </c>
      <c r="B6" s="16" t="e">
        <f>_xlfn.QUARTILE.EXC(#REF!,1)</f>
        <v>#REF!</v>
      </c>
      <c r="C6" s="16" t="e">
        <f>_xlfn.QUARTILE.EXC(#REF!,1)</f>
        <v>#REF!</v>
      </c>
    </row>
    <row r="7" spans="1:6" x14ac:dyDescent="0.2">
      <c r="A7" t="s">
        <v>8393</v>
      </c>
      <c r="B7" s="16" t="e">
        <f>B5-B6</f>
        <v>#REF!</v>
      </c>
      <c r="C7" s="16" t="e">
        <f>C5-C6</f>
        <v>#REF!</v>
      </c>
    </row>
    <row r="8" spans="1:6" x14ac:dyDescent="0.2">
      <c r="B8" s="16"/>
      <c r="C8" s="16"/>
    </row>
    <row r="9" spans="1:6" x14ac:dyDescent="0.2">
      <c r="A9" t="s">
        <v>8388</v>
      </c>
      <c r="B9" s="16" t="e">
        <f>AVERAGE(#REF!)</f>
        <v>#REF!</v>
      </c>
      <c r="C9" s="16" t="e">
        <f>AVERAGE(#REF!)</f>
        <v>#REF!</v>
      </c>
    </row>
    <row r="10" spans="1:6" x14ac:dyDescent="0.2">
      <c r="A10" t="s">
        <v>8389</v>
      </c>
      <c r="B10" s="16" t="e">
        <f>MEDIAN(#REF!)</f>
        <v>#REF!</v>
      </c>
      <c r="C10" s="16" t="e">
        <f>MEDIAN(#REF!)</f>
        <v>#REF!</v>
      </c>
    </row>
    <row r="11" spans="1:6" x14ac:dyDescent="0.2">
      <c r="A11" t="s">
        <v>8394</v>
      </c>
      <c r="B11" s="16" t="e">
        <f>_xlfn.STDEV.P(#REF!)</f>
        <v>#REF!</v>
      </c>
      <c r="C11" s="16" t="e">
        <f>_xlfn.STDEV.P(#REF!)</f>
        <v>#REF!</v>
      </c>
    </row>
    <row r="12" spans="1:6" x14ac:dyDescent="0.2">
      <c r="A12" t="s">
        <v>8395</v>
      </c>
      <c r="B12" s="16" t="e">
        <f>_xlfn.QUARTILE.EXC(#REF!,3)</f>
        <v>#REF!</v>
      </c>
      <c r="C12" s="16" t="e">
        <f>_xlfn.QUARTILE.EXC(#REF!,3)</f>
        <v>#REF!</v>
      </c>
      <c r="E12" s="8"/>
      <c r="F12" s="8"/>
    </row>
    <row r="13" spans="1:6" x14ac:dyDescent="0.2">
      <c r="A13" t="s">
        <v>8396</v>
      </c>
      <c r="B13" s="16" t="e">
        <f>_xlfn.QUARTILE.EXC(#REF!,1)</f>
        <v>#REF!</v>
      </c>
      <c r="C13" s="16" t="e">
        <f>_xlfn.QUARTILE.EXC(#REF!,1)</f>
        <v>#REF!</v>
      </c>
      <c r="E13" s="8"/>
      <c r="F13" s="8"/>
    </row>
    <row r="14" spans="1:6" x14ac:dyDescent="0.2">
      <c r="A14" t="s">
        <v>8397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8D81A-2FF8-7145-9127-C6BDAE0D7366}">
  <dimension ref="A1:F6"/>
  <sheetViews>
    <sheetView workbookViewId="0">
      <selection activeCell="B16" sqref="B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A6527-5B91-E942-91CE-386ABD59330F}">
  <dimension ref="A1:E7"/>
  <sheetViews>
    <sheetView workbookViewId="0">
      <selection activeCell="D12" sqref="D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8315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CC3EE-1BF1-9A40-B7BC-FE0F7BFA03C9}">
  <dimension ref="A1:F17"/>
  <sheetViews>
    <sheetView workbookViewId="0">
      <selection activeCell="K44" sqref="K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8367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">
      <c r="A6" s="15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">
      <c r="A7" s="15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">
      <c r="A8" s="15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">
      <c r="A9" s="15" t="s">
        <v>8368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">
      <c r="A10" s="15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">
      <c r="A11" s="15" t="s">
        <v>8369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">
      <c r="A12" s="15" t="s">
        <v>8370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">
      <c r="A13" s="15" t="s">
        <v>8371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">
      <c r="A14" s="15" t="s">
        <v>8372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">
      <c r="A15" s="15" t="s">
        <v>8373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">
      <c r="A16" s="15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">
      <c r="A17" s="15" t="s">
        <v>8362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CFADC-2985-3543-8EE3-304AA76B6E63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1.83203125" bestFit="1" customWidth="1"/>
    <col min="6" max="6" width="13.1640625" bestFit="1" customWidth="1"/>
  </cols>
  <sheetData>
    <row r="1" spans="1:6" x14ac:dyDescent="0.2">
      <c r="A1" t="s">
        <v>8379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8380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Bases on Launch Date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Baldassarre</cp:lastModifiedBy>
  <dcterms:created xsi:type="dcterms:W3CDTF">2017-04-20T15:17:24Z</dcterms:created>
  <dcterms:modified xsi:type="dcterms:W3CDTF">2022-03-12T16:21:15Z</dcterms:modified>
</cp:coreProperties>
</file>