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icholas\SkyDrive (2).old\Desktop\Laptop\School\School Programming Projects\"/>
    </mc:Choice>
  </mc:AlternateContent>
  <bookViews>
    <workbookView xWindow="0" yWindow="0" windowWidth="11490" windowHeight="9120" activeTab="2"/>
    <workbookView xWindow="0" yWindow="0" windowWidth="28800" windowHeight="11835" firstSheet="2" activeTab="1"/>
  </bookViews>
  <sheets>
    <sheet name="Setup" sheetId="10" r:id="rId1"/>
    <sheet name="Course List" sheetId="8" r:id="rId2"/>
    <sheet name="Semester View" sheetId="7" r:id="rId3"/>
    <sheet name="AR" sheetId="12" r:id="rId4"/>
    <sheet name="Planning Sheets" sheetId="11" r:id="rId5"/>
    <sheet name="2015 Winterim Courses" sheetId="13" r:id="rId6"/>
    <sheet name="2016 Winterim Courses" sheetId="14" r:id="rId7"/>
    <sheet name="Notes" sheetId="4" r:id="rId8"/>
  </sheets>
  <functionGroups builtInGroupCount="18"/>
  <definedNames>
    <definedName name="FreshmanCredits">Setup!$G$15</definedName>
    <definedName name="FreshmanMax">Setup!#REF!</definedName>
    <definedName name="FreshmanMin">Setup!$G$15</definedName>
    <definedName name="JuniorCredits">Setup!$G$17</definedName>
    <definedName name="JuniorMin">Setup!$G$17</definedName>
    <definedName name="SeniorCredits">Setup!$G$18</definedName>
    <definedName name="SophomoreCredits">Setup!$G$16</definedName>
    <definedName name="SophomoreMax">Setup!#REF!</definedName>
    <definedName name="SophomoreMin">Setup!$G$16</definedName>
    <definedName name="StartingCredits">Setup!$F$10</definedName>
    <definedName name="THIS_CELL">!XEZ1048467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09" i="7" l="1"/>
  <c r="AM109" i="7"/>
  <c r="AL109" i="7"/>
  <c r="AJ109" i="7"/>
  <c r="AI109" i="7"/>
  <c r="AH109" i="7"/>
  <c r="AD109" i="7"/>
  <c r="AC109" i="7"/>
  <c r="AB109" i="7"/>
  <c r="Z109" i="7"/>
  <c r="Y109" i="7"/>
  <c r="X109" i="7"/>
  <c r="T109" i="7"/>
  <c r="S109" i="7"/>
  <c r="R109" i="7"/>
  <c r="P109" i="7"/>
  <c r="O109" i="7"/>
  <c r="N109" i="7"/>
  <c r="J109" i="7"/>
  <c r="I109" i="7"/>
  <c r="H109" i="7"/>
  <c r="F109" i="7"/>
  <c r="E109" i="7"/>
  <c r="D109" i="7"/>
  <c r="AN108" i="7"/>
  <c r="AM108" i="7"/>
  <c r="AL108" i="7"/>
  <c r="AJ108" i="7"/>
  <c r="AI108" i="7"/>
  <c r="AH108" i="7"/>
  <c r="AD108" i="7"/>
  <c r="AC108" i="7"/>
  <c r="AB108" i="7"/>
  <c r="Z108" i="7"/>
  <c r="Y108" i="7"/>
  <c r="X108" i="7"/>
  <c r="T108" i="7"/>
  <c r="S108" i="7"/>
  <c r="R108" i="7"/>
  <c r="P108" i="7"/>
  <c r="O108" i="7"/>
  <c r="N108" i="7"/>
  <c r="J108" i="7"/>
  <c r="I108" i="7"/>
  <c r="H108" i="7"/>
  <c r="F108" i="7"/>
  <c r="E108" i="7"/>
  <c r="D108" i="7"/>
  <c r="AN107" i="7"/>
  <c r="AM107" i="7"/>
  <c r="AL107" i="7"/>
  <c r="AJ107" i="7"/>
  <c r="AI107" i="7"/>
  <c r="AH107" i="7"/>
  <c r="AD107" i="7"/>
  <c r="AC107" i="7"/>
  <c r="AB107" i="7"/>
  <c r="Z107" i="7"/>
  <c r="Y107" i="7"/>
  <c r="X107" i="7"/>
  <c r="T107" i="7"/>
  <c r="S107" i="7"/>
  <c r="R107" i="7"/>
  <c r="P107" i="7"/>
  <c r="O107" i="7"/>
  <c r="N107" i="7"/>
  <c r="J107" i="7"/>
  <c r="I107" i="7"/>
  <c r="H107" i="7"/>
  <c r="F107" i="7"/>
  <c r="E107" i="7"/>
  <c r="D107" i="7"/>
  <c r="AN106" i="7"/>
  <c r="AM106" i="7"/>
  <c r="AL106" i="7"/>
  <c r="AJ106" i="7"/>
  <c r="AI106" i="7"/>
  <c r="AH106" i="7"/>
  <c r="AD106" i="7"/>
  <c r="AC106" i="7"/>
  <c r="AB106" i="7"/>
  <c r="Z106" i="7"/>
  <c r="Y106" i="7"/>
  <c r="X106" i="7"/>
  <c r="T106" i="7"/>
  <c r="S106" i="7"/>
  <c r="R106" i="7"/>
  <c r="P106" i="7"/>
  <c r="O106" i="7"/>
  <c r="N106" i="7"/>
  <c r="J106" i="7"/>
  <c r="I106" i="7"/>
  <c r="H106" i="7"/>
  <c r="F106" i="7"/>
  <c r="E106" i="7"/>
  <c r="D106" i="7"/>
  <c r="AN105" i="7"/>
  <c r="AM105" i="7"/>
  <c r="AL105" i="7"/>
  <c r="AJ105" i="7"/>
  <c r="AI105" i="7"/>
  <c r="AH105" i="7"/>
  <c r="AD105" i="7"/>
  <c r="AC105" i="7"/>
  <c r="AB105" i="7"/>
  <c r="Z105" i="7"/>
  <c r="Y105" i="7"/>
  <c r="X105" i="7"/>
  <c r="T105" i="7"/>
  <c r="S105" i="7"/>
  <c r="R105" i="7"/>
  <c r="P105" i="7"/>
  <c r="O105" i="7"/>
  <c r="N105" i="7"/>
  <c r="J105" i="7"/>
  <c r="I105" i="7"/>
  <c r="H105" i="7"/>
  <c r="F105" i="7"/>
  <c r="E105" i="7"/>
  <c r="D105" i="7"/>
  <c r="AN104" i="7"/>
  <c r="AM104" i="7"/>
  <c r="AL104" i="7"/>
  <c r="AJ104" i="7"/>
  <c r="AI104" i="7"/>
  <c r="AH104" i="7"/>
  <c r="AD104" i="7"/>
  <c r="AC104" i="7"/>
  <c r="AB104" i="7"/>
  <c r="Z104" i="7"/>
  <c r="Y104" i="7"/>
  <c r="X104" i="7"/>
  <c r="T104" i="7"/>
  <c r="S104" i="7"/>
  <c r="R104" i="7"/>
  <c r="P104" i="7"/>
  <c r="O104" i="7"/>
  <c r="N104" i="7"/>
  <c r="J104" i="7"/>
  <c r="I104" i="7"/>
  <c r="H104" i="7"/>
  <c r="F104" i="7"/>
  <c r="E104" i="7"/>
  <c r="D104" i="7"/>
  <c r="AN103" i="7"/>
  <c r="AN110" i="7" s="1"/>
  <c r="AM103" i="7"/>
  <c r="AL103" i="7"/>
  <c r="AJ103" i="7"/>
  <c r="AJ110" i="7" s="1"/>
  <c r="AI103" i="7"/>
  <c r="AH103" i="7"/>
  <c r="AD103" i="7"/>
  <c r="AC103" i="7"/>
  <c r="AB103" i="7"/>
  <c r="Z103" i="7"/>
  <c r="Z110" i="7" s="1"/>
  <c r="Y103" i="7"/>
  <c r="X103" i="7"/>
  <c r="T103" i="7"/>
  <c r="T110" i="7" s="1"/>
  <c r="S103" i="7"/>
  <c r="R103" i="7"/>
  <c r="P103" i="7"/>
  <c r="P110" i="7" s="1"/>
  <c r="O103" i="7"/>
  <c r="N103" i="7"/>
  <c r="J103" i="7"/>
  <c r="I103" i="7"/>
  <c r="H103" i="7"/>
  <c r="F103" i="7"/>
  <c r="E103" i="7"/>
  <c r="D103" i="7"/>
  <c r="AN95" i="7"/>
  <c r="AM95" i="7"/>
  <c r="AL95" i="7"/>
  <c r="AJ95" i="7"/>
  <c r="AI95" i="7"/>
  <c r="AH95" i="7"/>
  <c r="AD95" i="7"/>
  <c r="AC95" i="7"/>
  <c r="AB95" i="7"/>
  <c r="Z95" i="7"/>
  <c r="Y95" i="7"/>
  <c r="X95" i="7"/>
  <c r="T95" i="7"/>
  <c r="S95" i="7"/>
  <c r="R95" i="7"/>
  <c r="P95" i="7"/>
  <c r="O95" i="7"/>
  <c r="N95" i="7"/>
  <c r="J95" i="7"/>
  <c r="I95" i="7"/>
  <c r="H95" i="7"/>
  <c r="F95" i="7"/>
  <c r="E95" i="7"/>
  <c r="D95" i="7"/>
  <c r="AN94" i="7"/>
  <c r="AM94" i="7"/>
  <c r="AL94" i="7"/>
  <c r="AJ94" i="7"/>
  <c r="AI94" i="7"/>
  <c r="AH94" i="7"/>
  <c r="AD94" i="7"/>
  <c r="AC94" i="7"/>
  <c r="AB94" i="7"/>
  <c r="Z94" i="7"/>
  <c r="Y94" i="7"/>
  <c r="X94" i="7"/>
  <c r="T94" i="7"/>
  <c r="S94" i="7"/>
  <c r="R94" i="7"/>
  <c r="P94" i="7"/>
  <c r="O94" i="7"/>
  <c r="N94" i="7"/>
  <c r="J94" i="7"/>
  <c r="I94" i="7"/>
  <c r="H94" i="7"/>
  <c r="F94" i="7"/>
  <c r="E94" i="7"/>
  <c r="D94" i="7"/>
  <c r="AN93" i="7"/>
  <c r="AM93" i="7"/>
  <c r="AL93" i="7"/>
  <c r="AJ93" i="7"/>
  <c r="AI93" i="7"/>
  <c r="AH93" i="7"/>
  <c r="AD93" i="7"/>
  <c r="AC93" i="7"/>
  <c r="AB93" i="7"/>
  <c r="Z93" i="7"/>
  <c r="Y93" i="7"/>
  <c r="X93" i="7"/>
  <c r="T93" i="7"/>
  <c r="S93" i="7"/>
  <c r="R93" i="7"/>
  <c r="P93" i="7"/>
  <c r="O93" i="7"/>
  <c r="N93" i="7"/>
  <c r="J93" i="7"/>
  <c r="I93" i="7"/>
  <c r="H93" i="7"/>
  <c r="F93" i="7"/>
  <c r="E93" i="7"/>
  <c r="D93" i="7"/>
  <c r="AN92" i="7"/>
  <c r="AM92" i="7"/>
  <c r="AL92" i="7"/>
  <c r="AJ92" i="7"/>
  <c r="AI92" i="7"/>
  <c r="AH92" i="7"/>
  <c r="AD92" i="7"/>
  <c r="AC92" i="7"/>
  <c r="AB92" i="7"/>
  <c r="Z92" i="7"/>
  <c r="Y92" i="7"/>
  <c r="X92" i="7"/>
  <c r="T92" i="7"/>
  <c r="S92" i="7"/>
  <c r="R92" i="7"/>
  <c r="P92" i="7"/>
  <c r="O92" i="7"/>
  <c r="N92" i="7"/>
  <c r="J92" i="7"/>
  <c r="I92" i="7"/>
  <c r="H92" i="7"/>
  <c r="F92" i="7"/>
  <c r="E92" i="7"/>
  <c r="D92" i="7"/>
  <c r="AN91" i="7"/>
  <c r="AM91" i="7"/>
  <c r="AL91" i="7"/>
  <c r="AJ91" i="7"/>
  <c r="AI91" i="7"/>
  <c r="AH91" i="7"/>
  <c r="AD91" i="7"/>
  <c r="AC91" i="7"/>
  <c r="AB91" i="7"/>
  <c r="Z91" i="7"/>
  <c r="Y91" i="7"/>
  <c r="X91" i="7"/>
  <c r="T91" i="7"/>
  <c r="S91" i="7"/>
  <c r="R91" i="7"/>
  <c r="P91" i="7"/>
  <c r="O91" i="7"/>
  <c r="N91" i="7"/>
  <c r="J91" i="7"/>
  <c r="I91" i="7"/>
  <c r="H91" i="7"/>
  <c r="F91" i="7"/>
  <c r="E91" i="7"/>
  <c r="D91" i="7"/>
  <c r="AN90" i="7"/>
  <c r="AM90" i="7"/>
  <c r="AL90" i="7"/>
  <c r="AJ90" i="7"/>
  <c r="AI90" i="7"/>
  <c r="AH90" i="7"/>
  <c r="AD90" i="7"/>
  <c r="AC90" i="7"/>
  <c r="AB90" i="7"/>
  <c r="Z90" i="7"/>
  <c r="Y90" i="7"/>
  <c r="X90" i="7"/>
  <c r="T90" i="7"/>
  <c r="S90" i="7"/>
  <c r="R90" i="7"/>
  <c r="P90" i="7"/>
  <c r="O90" i="7"/>
  <c r="N90" i="7"/>
  <c r="J90" i="7"/>
  <c r="I90" i="7"/>
  <c r="H90" i="7"/>
  <c r="F90" i="7"/>
  <c r="E90" i="7"/>
  <c r="D90" i="7"/>
  <c r="AN89" i="7"/>
  <c r="AN96" i="7" s="1"/>
  <c r="AM89" i="7"/>
  <c r="AL89" i="7"/>
  <c r="AJ89" i="7"/>
  <c r="AJ96" i="7" s="1"/>
  <c r="AI89" i="7"/>
  <c r="AH89" i="7"/>
  <c r="AD89" i="7"/>
  <c r="AD96" i="7" s="1"/>
  <c r="AC89" i="7"/>
  <c r="AB89" i="7"/>
  <c r="Z89" i="7"/>
  <c r="Z96" i="7" s="1"/>
  <c r="Y89" i="7"/>
  <c r="X89" i="7"/>
  <c r="T89" i="7"/>
  <c r="T96" i="7" s="1"/>
  <c r="S89" i="7"/>
  <c r="R89" i="7"/>
  <c r="P89" i="7"/>
  <c r="P96" i="7" s="1"/>
  <c r="O89" i="7"/>
  <c r="N89" i="7"/>
  <c r="J89" i="7"/>
  <c r="J96" i="7" s="1"/>
  <c r="I89" i="7"/>
  <c r="H89" i="7"/>
  <c r="F89" i="7"/>
  <c r="F96" i="7" s="1"/>
  <c r="E89" i="7"/>
  <c r="D89" i="7"/>
  <c r="AN81" i="7"/>
  <c r="AM81" i="7"/>
  <c r="AL81" i="7"/>
  <c r="AJ81" i="7"/>
  <c r="AI81" i="7"/>
  <c r="AH81" i="7"/>
  <c r="AD81" i="7"/>
  <c r="AC81" i="7"/>
  <c r="AB81" i="7"/>
  <c r="Z81" i="7"/>
  <c r="Y81" i="7"/>
  <c r="X81" i="7"/>
  <c r="T81" i="7"/>
  <c r="S81" i="7"/>
  <c r="R81" i="7"/>
  <c r="P81" i="7"/>
  <c r="O81" i="7"/>
  <c r="N81" i="7"/>
  <c r="J81" i="7"/>
  <c r="I81" i="7"/>
  <c r="H81" i="7"/>
  <c r="F81" i="7"/>
  <c r="E81" i="7"/>
  <c r="D81" i="7"/>
  <c r="AN80" i="7"/>
  <c r="AM80" i="7"/>
  <c r="AL80" i="7"/>
  <c r="AJ80" i="7"/>
  <c r="AI80" i="7"/>
  <c r="AH80" i="7"/>
  <c r="AD80" i="7"/>
  <c r="AC80" i="7"/>
  <c r="AB80" i="7"/>
  <c r="Z80" i="7"/>
  <c r="Y80" i="7"/>
  <c r="X80" i="7"/>
  <c r="T80" i="7"/>
  <c r="S80" i="7"/>
  <c r="R80" i="7"/>
  <c r="P80" i="7"/>
  <c r="O80" i="7"/>
  <c r="N80" i="7"/>
  <c r="J80" i="7"/>
  <c r="I80" i="7"/>
  <c r="H80" i="7"/>
  <c r="F80" i="7"/>
  <c r="E80" i="7"/>
  <c r="D80" i="7"/>
  <c r="AN79" i="7"/>
  <c r="AM79" i="7"/>
  <c r="AL79" i="7"/>
  <c r="AJ79" i="7"/>
  <c r="AI79" i="7"/>
  <c r="AH79" i="7"/>
  <c r="AD79" i="7"/>
  <c r="AC79" i="7"/>
  <c r="AB79" i="7"/>
  <c r="Z79" i="7"/>
  <c r="Y79" i="7"/>
  <c r="X79" i="7"/>
  <c r="T79" i="7"/>
  <c r="S79" i="7"/>
  <c r="R79" i="7"/>
  <c r="P79" i="7"/>
  <c r="O79" i="7"/>
  <c r="N79" i="7"/>
  <c r="J79" i="7"/>
  <c r="I79" i="7"/>
  <c r="H79" i="7"/>
  <c r="F79" i="7"/>
  <c r="E79" i="7"/>
  <c r="D79" i="7"/>
  <c r="AN78" i="7"/>
  <c r="AM78" i="7"/>
  <c r="AL78" i="7"/>
  <c r="AJ78" i="7"/>
  <c r="AI78" i="7"/>
  <c r="AH78" i="7"/>
  <c r="AD78" i="7"/>
  <c r="AC78" i="7"/>
  <c r="AB78" i="7"/>
  <c r="Z78" i="7"/>
  <c r="Y78" i="7"/>
  <c r="X78" i="7"/>
  <c r="T78" i="7"/>
  <c r="S78" i="7"/>
  <c r="R78" i="7"/>
  <c r="P78" i="7"/>
  <c r="O78" i="7"/>
  <c r="N78" i="7"/>
  <c r="J78" i="7"/>
  <c r="I78" i="7"/>
  <c r="H78" i="7"/>
  <c r="F78" i="7"/>
  <c r="E78" i="7"/>
  <c r="D78" i="7"/>
  <c r="AN77" i="7"/>
  <c r="AM77" i="7"/>
  <c r="AL77" i="7"/>
  <c r="AJ77" i="7"/>
  <c r="AI77" i="7"/>
  <c r="AH77" i="7"/>
  <c r="AD77" i="7"/>
  <c r="AC77" i="7"/>
  <c r="AB77" i="7"/>
  <c r="Z77" i="7"/>
  <c r="Y77" i="7"/>
  <c r="X77" i="7"/>
  <c r="T77" i="7"/>
  <c r="S77" i="7"/>
  <c r="R77" i="7"/>
  <c r="P77" i="7"/>
  <c r="O77" i="7"/>
  <c r="N77" i="7"/>
  <c r="J77" i="7"/>
  <c r="I77" i="7"/>
  <c r="H77" i="7"/>
  <c r="F77" i="7"/>
  <c r="E77" i="7"/>
  <c r="D77" i="7"/>
  <c r="AN76" i="7"/>
  <c r="AM76" i="7"/>
  <c r="AL76" i="7"/>
  <c r="AJ76" i="7"/>
  <c r="AI76" i="7"/>
  <c r="AH76" i="7"/>
  <c r="AD76" i="7"/>
  <c r="AC76" i="7"/>
  <c r="AB76" i="7"/>
  <c r="Z76" i="7"/>
  <c r="Y76" i="7"/>
  <c r="X76" i="7"/>
  <c r="T76" i="7"/>
  <c r="S76" i="7"/>
  <c r="R76" i="7"/>
  <c r="P76" i="7"/>
  <c r="O76" i="7"/>
  <c r="N76" i="7"/>
  <c r="J76" i="7"/>
  <c r="I76" i="7"/>
  <c r="H76" i="7"/>
  <c r="F76" i="7"/>
  <c r="E76" i="7"/>
  <c r="D76" i="7"/>
  <c r="AN75" i="7"/>
  <c r="AN82" i="7" s="1"/>
  <c r="AM75" i="7"/>
  <c r="AL75" i="7"/>
  <c r="AJ75" i="7"/>
  <c r="AJ82" i="7" s="1"/>
  <c r="AI75" i="7"/>
  <c r="AH75" i="7"/>
  <c r="AD75" i="7"/>
  <c r="AD82" i="7" s="1"/>
  <c r="AC75" i="7"/>
  <c r="AB75" i="7"/>
  <c r="Z75" i="7"/>
  <c r="Z82" i="7" s="1"/>
  <c r="Y75" i="7"/>
  <c r="X75" i="7"/>
  <c r="T75" i="7"/>
  <c r="T82" i="7" s="1"/>
  <c r="S75" i="7"/>
  <c r="R75" i="7"/>
  <c r="P75" i="7"/>
  <c r="P82" i="7" s="1"/>
  <c r="O75" i="7"/>
  <c r="N75" i="7"/>
  <c r="J75" i="7"/>
  <c r="J82" i="7" s="1"/>
  <c r="I75" i="7"/>
  <c r="H75" i="7"/>
  <c r="F75" i="7"/>
  <c r="F82" i="7" s="1"/>
  <c r="E75" i="7"/>
  <c r="D75" i="7"/>
  <c r="AD110" i="7" l="1"/>
  <c r="F110" i="7"/>
  <c r="J110" i="7"/>
  <c r="AD112" i="7"/>
  <c r="T112" i="7"/>
  <c r="AN112" i="7"/>
  <c r="AD98" i="7"/>
  <c r="T98" i="7"/>
  <c r="J98" i="7"/>
  <c r="AN98" i="7"/>
  <c r="J84" i="7"/>
  <c r="AD84" i="7"/>
  <c r="T84" i="7"/>
  <c r="AN84" i="7"/>
  <c r="D36" i="7"/>
  <c r="J112" i="7" l="1"/>
  <c r="AD19" i="7"/>
  <c r="AD20" i="7"/>
  <c r="AD21" i="7"/>
  <c r="AD22" i="7"/>
  <c r="AD23" i="7"/>
  <c r="AD24" i="7"/>
  <c r="AD25" i="7"/>
  <c r="N51" i="7"/>
  <c r="M20" i="8" l="1"/>
  <c r="X49" i="7" l="1"/>
  <c r="AN10" i="7" l="1"/>
  <c r="AM10" i="7"/>
  <c r="AL10" i="7"/>
  <c r="AJ10" i="7"/>
  <c r="AI10" i="7"/>
  <c r="AH10" i="7"/>
  <c r="AN9" i="7"/>
  <c r="AM9" i="7"/>
  <c r="AL9" i="7"/>
  <c r="AJ9" i="7"/>
  <c r="AI9" i="7"/>
  <c r="AH9" i="7"/>
  <c r="AN8" i="7"/>
  <c r="AM8" i="7"/>
  <c r="AL8" i="7"/>
  <c r="AJ8" i="7"/>
  <c r="AI8" i="7"/>
  <c r="AH8" i="7"/>
  <c r="AN7" i="7"/>
  <c r="AM7" i="7"/>
  <c r="AL7" i="7"/>
  <c r="AJ7" i="7"/>
  <c r="AI7" i="7"/>
  <c r="AH7" i="7"/>
  <c r="AN6" i="7"/>
  <c r="AM6" i="7"/>
  <c r="AL6" i="7"/>
  <c r="AJ6" i="7"/>
  <c r="AI6" i="7"/>
  <c r="AH6" i="7"/>
  <c r="AN5" i="7"/>
  <c r="AM5" i="7"/>
  <c r="AL5" i="7"/>
  <c r="AJ5" i="7"/>
  <c r="AI5" i="7"/>
  <c r="AH5" i="7"/>
  <c r="AN4" i="7"/>
  <c r="AM4" i="7"/>
  <c r="AL4" i="7"/>
  <c r="AJ4" i="7"/>
  <c r="AI4" i="7"/>
  <c r="AH4" i="7"/>
  <c r="AJ11" i="7" l="1"/>
  <c r="AN11" i="7"/>
  <c r="R20" i="8"/>
  <c r="R19" i="8"/>
  <c r="D39" i="7"/>
  <c r="D52" i="7"/>
  <c r="X38" i="7"/>
  <c r="AN67" i="7"/>
  <c r="AM67" i="7"/>
  <c r="AL67" i="7"/>
  <c r="AJ67" i="7"/>
  <c r="AI67" i="7"/>
  <c r="AH67" i="7"/>
  <c r="AN66" i="7"/>
  <c r="AM66" i="7"/>
  <c r="AL66" i="7"/>
  <c r="AJ66" i="7"/>
  <c r="AI66" i="7"/>
  <c r="AH66" i="7"/>
  <c r="AN65" i="7"/>
  <c r="AM65" i="7"/>
  <c r="AL65" i="7"/>
  <c r="AJ65" i="7"/>
  <c r="AI65" i="7"/>
  <c r="AH65" i="7"/>
  <c r="AN64" i="7"/>
  <c r="AM64" i="7"/>
  <c r="AL64" i="7"/>
  <c r="AJ64" i="7"/>
  <c r="AI64" i="7"/>
  <c r="AH64" i="7"/>
  <c r="AN63" i="7"/>
  <c r="AM63" i="7"/>
  <c r="AL63" i="7"/>
  <c r="AJ63" i="7"/>
  <c r="AI63" i="7"/>
  <c r="AH63" i="7"/>
  <c r="AN62" i="7"/>
  <c r="AM62" i="7"/>
  <c r="AL62" i="7"/>
  <c r="AJ62" i="7"/>
  <c r="AI62" i="7"/>
  <c r="AH62" i="7"/>
  <c r="AN61" i="7"/>
  <c r="AM61" i="7"/>
  <c r="AL61" i="7"/>
  <c r="AJ61" i="7"/>
  <c r="AI61" i="7"/>
  <c r="AH61" i="7"/>
  <c r="AN25" i="7"/>
  <c r="AM25" i="7"/>
  <c r="AL25" i="7"/>
  <c r="AJ25" i="7"/>
  <c r="AI25" i="7"/>
  <c r="AH25" i="7"/>
  <c r="AN24" i="7"/>
  <c r="AM24" i="7"/>
  <c r="AL24" i="7"/>
  <c r="AJ24" i="7"/>
  <c r="AI24" i="7"/>
  <c r="AH24" i="7"/>
  <c r="AN23" i="7"/>
  <c r="AM23" i="7"/>
  <c r="AL23" i="7"/>
  <c r="AJ23" i="7"/>
  <c r="AI23" i="7"/>
  <c r="AH23" i="7"/>
  <c r="AN22" i="7"/>
  <c r="AM22" i="7"/>
  <c r="AL22" i="7"/>
  <c r="AJ22" i="7"/>
  <c r="AI22" i="7"/>
  <c r="AH22" i="7"/>
  <c r="AN21" i="7"/>
  <c r="AM21" i="7"/>
  <c r="AL21" i="7"/>
  <c r="AJ21" i="7"/>
  <c r="AI21" i="7"/>
  <c r="AH21" i="7"/>
  <c r="AN20" i="7"/>
  <c r="AM20" i="7"/>
  <c r="AL20" i="7"/>
  <c r="AJ20" i="7"/>
  <c r="AI20" i="7"/>
  <c r="AH20" i="7"/>
  <c r="AN19" i="7"/>
  <c r="AM19" i="7"/>
  <c r="AL19" i="7"/>
  <c r="AJ19" i="7"/>
  <c r="AI19" i="7"/>
  <c r="AH19" i="7"/>
  <c r="AN39" i="7"/>
  <c r="AM39" i="7"/>
  <c r="AL39" i="7"/>
  <c r="AJ39" i="7"/>
  <c r="AI39" i="7"/>
  <c r="AH39" i="7"/>
  <c r="AN38" i="7"/>
  <c r="AM38" i="7"/>
  <c r="AL38" i="7"/>
  <c r="AJ38" i="7"/>
  <c r="AI38" i="7"/>
  <c r="AH38" i="7"/>
  <c r="AN37" i="7"/>
  <c r="AM37" i="7"/>
  <c r="AL37" i="7"/>
  <c r="AJ37" i="7"/>
  <c r="AI37" i="7"/>
  <c r="AH37" i="7"/>
  <c r="AN36" i="7"/>
  <c r="AM36" i="7"/>
  <c r="AL36" i="7"/>
  <c r="AJ36" i="7"/>
  <c r="AI36" i="7"/>
  <c r="AH36" i="7"/>
  <c r="AN35" i="7"/>
  <c r="AM35" i="7"/>
  <c r="AL35" i="7"/>
  <c r="AJ35" i="7"/>
  <c r="AI35" i="7"/>
  <c r="AH35" i="7"/>
  <c r="AN34" i="7"/>
  <c r="AM34" i="7"/>
  <c r="AL34" i="7"/>
  <c r="AJ34" i="7"/>
  <c r="AI34" i="7"/>
  <c r="AH34" i="7"/>
  <c r="AN33" i="7"/>
  <c r="AM33" i="7"/>
  <c r="AL33" i="7"/>
  <c r="AJ33" i="7"/>
  <c r="AI33" i="7"/>
  <c r="AH33" i="7"/>
  <c r="AN13" i="7" l="1"/>
  <c r="AJ26" i="7"/>
  <c r="AN26" i="7"/>
  <c r="AJ40" i="7"/>
  <c r="AJ68" i="7"/>
  <c r="AN40" i="7"/>
  <c r="AN68" i="7"/>
  <c r="AN53" i="7"/>
  <c r="AM53" i="7"/>
  <c r="AL53" i="7"/>
  <c r="AJ53" i="7"/>
  <c r="AI53" i="7"/>
  <c r="AH53" i="7"/>
  <c r="AN52" i="7"/>
  <c r="AM52" i="7"/>
  <c r="AL52" i="7"/>
  <c r="AJ52" i="7"/>
  <c r="AI52" i="7"/>
  <c r="AH52" i="7"/>
  <c r="AN51" i="7"/>
  <c r="AM51" i="7"/>
  <c r="AL51" i="7"/>
  <c r="AJ51" i="7"/>
  <c r="AI51" i="7"/>
  <c r="AH51" i="7"/>
  <c r="AN50" i="7"/>
  <c r="AM50" i="7"/>
  <c r="AL50" i="7"/>
  <c r="AJ50" i="7"/>
  <c r="AI50" i="7"/>
  <c r="AH50" i="7"/>
  <c r="AN49" i="7"/>
  <c r="AM49" i="7"/>
  <c r="AL49" i="7"/>
  <c r="AJ49" i="7"/>
  <c r="AI49" i="7"/>
  <c r="AH49" i="7"/>
  <c r="AN48" i="7"/>
  <c r="AM48" i="7"/>
  <c r="AL48" i="7"/>
  <c r="AJ48" i="7"/>
  <c r="AI48" i="7"/>
  <c r="AH48" i="7"/>
  <c r="AN47" i="7"/>
  <c r="AM47" i="7"/>
  <c r="AL47" i="7"/>
  <c r="AJ47" i="7"/>
  <c r="AI47" i="7"/>
  <c r="AH47" i="7"/>
  <c r="AD67" i="7"/>
  <c r="AC67" i="7"/>
  <c r="AB67" i="7"/>
  <c r="Z67" i="7"/>
  <c r="Y67" i="7"/>
  <c r="X67" i="7"/>
  <c r="T67" i="7"/>
  <c r="S67" i="7"/>
  <c r="R67" i="7"/>
  <c r="P67" i="7"/>
  <c r="O67" i="7"/>
  <c r="N67" i="7"/>
  <c r="J67" i="7"/>
  <c r="I67" i="7"/>
  <c r="H67" i="7"/>
  <c r="F67" i="7"/>
  <c r="E67" i="7"/>
  <c r="D67" i="7"/>
  <c r="AD66" i="7"/>
  <c r="AC66" i="7"/>
  <c r="AB66" i="7"/>
  <c r="Z66" i="7"/>
  <c r="Y66" i="7"/>
  <c r="X66" i="7"/>
  <c r="T66" i="7"/>
  <c r="S66" i="7"/>
  <c r="R66" i="7"/>
  <c r="P66" i="7"/>
  <c r="O66" i="7"/>
  <c r="N66" i="7"/>
  <c r="J66" i="7"/>
  <c r="I66" i="7"/>
  <c r="H66" i="7"/>
  <c r="F66" i="7"/>
  <c r="E66" i="7"/>
  <c r="D66" i="7"/>
  <c r="AD65" i="7"/>
  <c r="AC65" i="7"/>
  <c r="AB65" i="7"/>
  <c r="Z65" i="7"/>
  <c r="Y65" i="7"/>
  <c r="X65" i="7"/>
  <c r="T65" i="7"/>
  <c r="S65" i="7"/>
  <c r="R65" i="7"/>
  <c r="P65" i="7"/>
  <c r="O65" i="7"/>
  <c r="N65" i="7"/>
  <c r="J65" i="7"/>
  <c r="I65" i="7"/>
  <c r="H65" i="7"/>
  <c r="F65" i="7"/>
  <c r="E65" i="7"/>
  <c r="D65" i="7"/>
  <c r="AD64" i="7"/>
  <c r="AC64" i="7"/>
  <c r="AB64" i="7"/>
  <c r="Z64" i="7"/>
  <c r="Y64" i="7"/>
  <c r="X64" i="7"/>
  <c r="T64" i="7"/>
  <c r="S64" i="7"/>
  <c r="R64" i="7"/>
  <c r="P64" i="7"/>
  <c r="O64" i="7"/>
  <c r="N64" i="7"/>
  <c r="J64" i="7"/>
  <c r="I64" i="7"/>
  <c r="H64" i="7"/>
  <c r="F64" i="7"/>
  <c r="E64" i="7"/>
  <c r="D64" i="7"/>
  <c r="AD63" i="7"/>
  <c r="AC63" i="7"/>
  <c r="AB63" i="7"/>
  <c r="Z63" i="7"/>
  <c r="Y63" i="7"/>
  <c r="X63" i="7"/>
  <c r="T63" i="7"/>
  <c r="S63" i="7"/>
  <c r="R63" i="7"/>
  <c r="P63" i="7"/>
  <c r="O63" i="7"/>
  <c r="N63" i="7"/>
  <c r="J63" i="7"/>
  <c r="I63" i="7"/>
  <c r="H63" i="7"/>
  <c r="F63" i="7"/>
  <c r="E63" i="7"/>
  <c r="D63" i="7"/>
  <c r="AD62" i="7"/>
  <c r="AC62" i="7"/>
  <c r="AB62" i="7"/>
  <c r="Z62" i="7"/>
  <c r="Y62" i="7"/>
  <c r="X62" i="7"/>
  <c r="T62" i="7"/>
  <c r="S62" i="7"/>
  <c r="R62" i="7"/>
  <c r="P62" i="7"/>
  <c r="O62" i="7"/>
  <c r="N62" i="7"/>
  <c r="J62" i="7"/>
  <c r="I62" i="7"/>
  <c r="H62" i="7"/>
  <c r="F62" i="7"/>
  <c r="E62" i="7"/>
  <c r="D62" i="7"/>
  <c r="AD61" i="7"/>
  <c r="AC61" i="7"/>
  <c r="AB61" i="7"/>
  <c r="Z61" i="7"/>
  <c r="Y61" i="7"/>
  <c r="X61" i="7"/>
  <c r="T61" i="7"/>
  <c r="S61" i="7"/>
  <c r="R61" i="7"/>
  <c r="P61" i="7"/>
  <c r="O61" i="7"/>
  <c r="N61" i="7"/>
  <c r="J61" i="7"/>
  <c r="I61" i="7"/>
  <c r="H61" i="7"/>
  <c r="F61" i="7"/>
  <c r="E61" i="7"/>
  <c r="D61" i="7"/>
  <c r="AD53" i="7"/>
  <c r="AC53" i="7"/>
  <c r="AB53" i="7"/>
  <c r="Z53" i="7"/>
  <c r="Y53" i="7"/>
  <c r="X53" i="7"/>
  <c r="T53" i="7"/>
  <c r="S53" i="7"/>
  <c r="R53" i="7"/>
  <c r="P53" i="7"/>
  <c r="O53" i="7"/>
  <c r="N53" i="7"/>
  <c r="J53" i="7"/>
  <c r="I53" i="7"/>
  <c r="H53" i="7"/>
  <c r="F53" i="7"/>
  <c r="E53" i="7"/>
  <c r="D53" i="7"/>
  <c r="AD52" i="7"/>
  <c r="AC52" i="7"/>
  <c r="AB52" i="7"/>
  <c r="Z52" i="7"/>
  <c r="Y52" i="7"/>
  <c r="X52" i="7"/>
  <c r="T52" i="7"/>
  <c r="S52" i="7"/>
  <c r="R52" i="7"/>
  <c r="P52" i="7"/>
  <c r="O52" i="7"/>
  <c r="N52" i="7"/>
  <c r="J52" i="7"/>
  <c r="I52" i="7"/>
  <c r="H52" i="7"/>
  <c r="F52" i="7"/>
  <c r="E52" i="7"/>
  <c r="AD51" i="7"/>
  <c r="AC51" i="7"/>
  <c r="AB51" i="7"/>
  <c r="Z51" i="7"/>
  <c r="Y51" i="7"/>
  <c r="X51" i="7"/>
  <c r="T51" i="7"/>
  <c r="S51" i="7"/>
  <c r="R51" i="7"/>
  <c r="P51" i="7"/>
  <c r="O51" i="7"/>
  <c r="J51" i="7"/>
  <c r="I51" i="7"/>
  <c r="H51" i="7"/>
  <c r="F51" i="7"/>
  <c r="E51" i="7"/>
  <c r="D51" i="7"/>
  <c r="AD50" i="7"/>
  <c r="AC50" i="7"/>
  <c r="AB50" i="7"/>
  <c r="Z50" i="7"/>
  <c r="Y50" i="7"/>
  <c r="X50" i="7"/>
  <c r="T50" i="7"/>
  <c r="S50" i="7"/>
  <c r="R50" i="7"/>
  <c r="P50" i="7"/>
  <c r="O50" i="7"/>
  <c r="N50" i="7"/>
  <c r="J50" i="7"/>
  <c r="I50" i="7"/>
  <c r="H50" i="7"/>
  <c r="F50" i="7"/>
  <c r="E50" i="7"/>
  <c r="D50" i="7"/>
  <c r="AD49" i="7"/>
  <c r="AC49" i="7"/>
  <c r="AB49" i="7"/>
  <c r="Z49" i="7"/>
  <c r="Y49" i="7"/>
  <c r="T49" i="7"/>
  <c r="S49" i="7"/>
  <c r="R49" i="7"/>
  <c r="P49" i="7"/>
  <c r="O49" i="7"/>
  <c r="N49" i="7"/>
  <c r="J49" i="7"/>
  <c r="I49" i="7"/>
  <c r="H49" i="7"/>
  <c r="F49" i="7"/>
  <c r="E49" i="7"/>
  <c r="D49" i="7"/>
  <c r="AD48" i="7"/>
  <c r="AC48" i="7"/>
  <c r="AB48" i="7"/>
  <c r="Z48" i="7"/>
  <c r="Y48" i="7"/>
  <c r="X48" i="7"/>
  <c r="T48" i="7"/>
  <c r="S48" i="7"/>
  <c r="R48" i="7"/>
  <c r="P48" i="7"/>
  <c r="O48" i="7"/>
  <c r="N48" i="7"/>
  <c r="J48" i="7"/>
  <c r="I48" i="7"/>
  <c r="H48" i="7"/>
  <c r="F48" i="7"/>
  <c r="E48" i="7"/>
  <c r="D48" i="7"/>
  <c r="AD47" i="7"/>
  <c r="AC47" i="7"/>
  <c r="AB47" i="7"/>
  <c r="Z47" i="7"/>
  <c r="Y47" i="7"/>
  <c r="X47" i="7"/>
  <c r="T47" i="7"/>
  <c r="S47" i="7"/>
  <c r="R47" i="7"/>
  <c r="P47" i="7"/>
  <c r="O47" i="7"/>
  <c r="N47" i="7"/>
  <c r="J47" i="7"/>
  <c r="I47" i="7"/>
  <c r="H47" i="7"/>
  <c r="F47" i="7"/>
  <c r="E47" i="7"/>
  <c r="D47" i="7"/>
  <c r="AD39" i="7"/>
  <c r="AC39" i="7"/>
  <c r="AB39" i="7"/>
  <c r="Z39" i="7"/>
  <c r="Y39" i="7"/>
  <c r="X39" i="7"/>
  <c r="T39" i="7"/>
  <c r="S39" i="7"/>
  <c r="R39" i="7"/>
  <c r="P39" i="7"/>
  <c r="O39" i="7"/>
  <c r="N39" i="7"/>
  <c r="J39" i="7"/>
  <c r="I39" i="7"/>
  <c r="H39" i="7"/>
  <c r="F39" i="7"/>
  <c r="E39" i="7"/>
  <c r="AD38" i="7"/>
  <c r="AC38" i="7"/>
  <c r="AB38" i="7"/>
  <c r="Z38" i="7"/>
  <c r="Y38" i="7"/>
  <c r="T38" i="7"/>
  <c r="S38" i="7"/>
  <c r="R38" i="7"/>
  <c r="P38" i="7"/>
  <c r="O38" i="7"/>
  <c r="N38" i="7"/>
  <c r="J38" i="7"/>
  <c r="I38" i="7"/>
  <c r="H38" i="7"/>
  <c r="F38" i="7"/>
  <c r="E38" i="7"/>
  <c r="D38" i="7"/>
  <c r="AD37" i="7"/>
  <c r="AC37" i="7"/>
  <c r="AB37" i="7"/>
  <c r="Z37" i="7"/>
  <c r="Y37" i="7"/>
  <c r="X37" i="7"/>
  <c r="T37" i="7"/>
  <c r="S37" i="7"/>
  <c r="R37" i="7"/>
  <c r="P37" i="7"/>
  <c r="O37" i="7"/>
  <c r="N37" i="7"/>
  <c r="J37" i="7"/>
  <c r="I37" i="7"/>
  <c r="H37" i="7"/>
  <c r="F37" i="7"/>
  <c r="E37" i="7"/>
  <c r="D37" i="7"/>
  <c r="AD36" i="7"/>
  <c r="AC36" i="7"/>
  <c r="AB36" i="7"/>
  <c r="Z36" i="7"/>
  <c r="Y36" i="7"/>
  <c r="X36" i="7"/>
  <c r="T36" i="7"/>
  <c r="S36" i="7"/>
  <c r="R36" i="7"/>
  <c r="P36" i="7"/>
  <c r="O36" i="7"/>
  <c r="N36" i="7"/>
  <c r="J36" i="7"/>
  <c r="I36" i="7"/>
  <c r="H36" i="7"/>
  <c r="F36" i="7"/>
  <c r="E36" i="7"/>
  <c r="AD35" i="7"/>
  <c r="AC35" i="7"/>
  <c r="AB35" i="7"/>
  <c r="Z35" i="7"/>
  <c r="Y35" i="7"/>
  <c r="X35" i="7"/>
  <c r="T35" i="7"/>
  <c r="S35" i="7"/>
  <c r="R35" i="7"/>
  <c r="P35" i="7"/>
  <c r="O35" i="7"/>
  <c r="N35" i="7"/>
  <c r="J35" i="7"/>
  <c r="I35" i="7"/>
  <c r="H35" i="7"/>
  <c r="F35" i="7"/>
  <c r="E35" i="7"/>
  <c r="D35" i="7"/>
  <c r="AD34" i="7"/>
  <c r="AC34" i="7"/>
  <c r="AB34" i="7"/>
  <c r="Z34" i="7"/>
  <c r="Y34" i="7"/>
  <c r="X34" i="7"/>
  <c r="T34" i="7"/>
  <c r="S34" i="7"/>
  <c r="R34" i="7"/>
  <c r="P34" i="7"/>
  <c r="O34" i="7"/>
  <c r="N34" i="7"/>
  <c r="J34" i="7"/>
  <c r="I34" i="7"/>
  <c r="H34" i="7"/>
  <c r="F34" i="7"/>
  <c r="E34" i="7"/>
  <c r="D34" i="7"/>
  <c r="AD33" i="7"/>
  <c r="AC33" i="7"/>
  <c r="AB33" i="7"/>
  <c r="Z33" i="7"/>
  <c r="Y33" i="7"/>
  <c r="X33" i="7"/>
  <c r="T33" i="7"/>
  <c r="S33" i="7"/>
  <c r="R33" i="7"/>
  <c r="P33" i="7"/>
  <c r="O33" i="7"/>
  <c r="N33" i="7"/>
  <c r="J33" i="7"/>
  <c r="I33" i="7"/>
  <c r="H33" i="7"/>
  <c r="F33" i="7"/>
  <c r="E33" i="7"/>
  <c r="D33" i="7"/>
  <c r="AC25" i="7"/>
  <c r="AB25" i="7"/>
  <c r="Z25" i="7"/>
  <c r="Y25" i="7"/>
  <c r="X25" i="7"/>
  <c r="T25" i="7"/>
  <c r="S25" i="7"/>
  <c r="R25" i="7"/>
  <c r="P25" i="7"/>
  <c r="O25" i="7"/>
  <c r="N25" i="7"/>
  <c r="J25" i="7"/>
  <c r="I25" i="7"/>
  <c r="H25" i="7"/>
  <c r="F25" i="7"/>
  <c r="E25" i="7"/>
  <c r="D25" i="7"/>
  <c r="AC24" i="7"/>
  <c r="AB24" i="7"/>
  <c r="Z24" i="7"/>
  <c r="Y24" i="7"/>
  <c r="X24" i="7"/>
  <c r="T24" i="7"/>
  <c r="S24" i="7"/>
  <c r="R24" i="7"/>
  <c r="P24" i="7"/>
  <c r="O24" i="7"/>
  <c r="N24" i="7"/>
  <c r="J24" i="7"/>
  <c r="I24" i="7"/>
  <c r="H24" i="7"/>
  <c r="F24" i="7"/>
  <c r="E24" i="7"/>
  <c r="D24" i="7"/>
  <c r="AC23" i="7"/>
  <c r="AB23" i="7"/>
  <c r="Z23" i="7"/>
  <c r="Y23" i="7"/>
  <c r="X23" i="7"/>
  <c r="T23" i="7"/>
  <c r="S23" i="7"/>
  <c r="R23" i="7"/>
  <c r="P23" i="7"/>
  <c r="O23" i="7"/>
  <c r="N23" i="7"/>
  <c r="J23" i="7"/>
  <c r="I23" i="7"/>
  <c r="H23" i="7"/>
  <c r="F23" i="7"/>
  <c r="E23" i="7"/>
  <c r="D23" i="7"/>
  <c r="AC22" i="7"/>
  <c r="AB22" i="7"/>
  <c r="Z22" i="7"/>
  <c r="Y22" i="7"/>
  <c r="X22" i="7"/>
  <c r="T22" i="7"/>
  <c r="S22" i="7"/>
  <c r="R22" i="7"/>
  <c r="P22" i="7"/>
  <c r="O22" i="7"/>
  <c r="N22" i="7"/>
  <c r="J22" i="7"/>
  <c r="I22" i="7"/>
  <c r="H22" i="7"/>
  <c r="F22" i="7"/>
  <c r="E22" i="7"/>
  <c r="D22" i="7"/>
  <c r="AC21" i="7"/>
  <c r="AB21" i="7"/>
  <c r="Z21" i="7"/>
  <c r="Y21" i="7"/>
  <c r="X21" i="7"/>
  <c r="T21" i="7"/>
  <c r="S21" i="7"/>
  <c r="R21" i="7"/>
  <c r="P21" i="7"/>
  <c r="O21" i="7"/>
  <c r="N21" i="7"/>
  <c r="J21" i="7"/>
  <c r="I21" i="7"/>
  <c r="H21" i="7"/>
  <c r="F21" i="7"/>
  <c r="E21" i="7"/>
  <c r="D21" i="7"/>
  <c r="AC20" i="7"/>
  <c r="AB20" i="7"/>
  <c r="Z20" i="7"/>
  <c r="Y20" i="7"/>
  <c r="X20" i="7"/>
  <c r="T20" i="7"/>
  <c r="S20" i="7"/>
  <c r="R20" i="7"/>
  <c r="P20" i="7"/>
  <c r="O20" i="7"/>
  <c r="N20" i="7"/>
  <c r="J20" i="7"/>
  <c r="I20" i="7"/>
  <c r="H20" i="7"/>
  <c r="F20" i="7"/>
  <c r="E20" i="7"/>
  <c r="D20" i="7"/>
  <c r="AC19" i="7"/>
  <c r="AB19" i="7"/>
  <c r="Z19" i="7"/>
  <c r="Y19" i="7"/>
  <c r="X19" i="7"/>
  <c r="T19" i="7"/>
  <c r="S19" i="7"/>
  <c r="R19" i="7"/>
  <c r="P19" i="7"/>
  <c r="O19" i="7"/>
  <c r="N19" i="7"/>
  <c r="J19" i="7"/>
  <c r="I19" i="7"/>
  <c r="H19" i="7"/>
  <c r="F19" i="7"/>
  <c r="E19" i="7"/>
  <c r="D19" i="7"/>
  <c r="AD10" i="7"/>
  <c r="AC10" i="7"/>
  <c r="AB10" i="7"/>
  <c r="Z10" i="7"/>
  <c r="Y10" i="7"/>
  <c r="X10" i="7"/>
  <c r="T10" i="7"/>
  <c r="S10" i="7"/>
  <c r="R10" i="7"/>
  <c r="P10" i="7"/>
  <c r="O10" i="7"/>
  <c r="N10" i="7"/>
  <c r="J10" i="7"/>
  <c r="I10" i="7"/>
  <c r="H10" i="7"/>
  <c r="F10" i="7"/>
  <c r="E10" i="7"/>
  <c r="D10" i="7"/>
  <c r="AD9" i="7"/>
  <c r="AC9" i="7"/>
  <c r="AB9" i="7"/>
  <c r="Z9" i="7"/>
  <c r="Y9" i="7"/>
  <c r="X9" i="7"/>
  <c r="T9" i="7"/>
  <c r="S9" i="7"/>
  <c r="R9" i="7"/>
  <c r="P9" i="7"/>
  <c r="O9" i="7"/>
  <c r="N9" i="7"/>
  <c r="J9" i="7"/>
  <c r="I9" i="7"/>
  <c r="H9" i="7"/>
  <c r="F9" i="7"/>
  <c r="E9" i="7"/>
  <c r="D9" i="7"/>
  <c r="AD8" i="7"/>
  <c r="AC8" i="7"/>
  <c r="AB8" i="7"/>
  <c r="Z8" i="7"/>
  <c r="Y8" i="7"/>
  <c r="X8" i="7"/>
  <c r="T8" i="7"/>
  <c r="S8" i="7"/>
  <c r="R8" i="7"/>
  <c r="P8" i="7"/>
  <c r="O8" i="7"/>
  <c r="N8" i="7"/>
  <c r="J8" i="7"/>
  <c r="I8" i="7"/>
  <c r="H8" i="7"/>
  <c r="F8" i="7"/>
  <c r="E8" i="7"/>
  <c r="D8" i="7"/>
  <c r="AD7" i="7"/>
  <c r="AC7" i="7"/>
  <c r="AB7" i="7"/>
  <c r="Z7" i="7"/>
  <c r="Y7" i="7"/>
  <c r="X7" i="7"/>
  <c r="T7" i="7"/>
  <c r="S7" i="7"/>
  <c r="R7" i="7"/>
  <c r="P7" i="7"/>
  <c r="O7" i="7"/>
  <c r="N7" i="7"/>
  <c r="J7" i="7"/>
  <c r="I7" i="7"/>
  <c r="H7" i="7"/>
  <c r="F7" i="7"/>
  <c r="E7" i="7"/>
  <c r="D7" i="7"/>
  <c r="AD6" i="7"/>
  <c r="AC6" i="7"/>
  <c r="AB6" i="7"/>
  <c r="Z6" i="7"/>
  <c r="Y6" i="7"/>
  <c r="X6" i="7"/>
  <c r="T6" i="7"/>
  <c r="S6" i="7"/>
  <c r="R6" i="7"/>
  <c r="P6" i="7"/>
  <c r="O6" i="7"/>
  <c r="N6" i="7"/>
  <c r="J6" i="7"/>
  <c r="I6" i="7"/>
  <c r="H6" i="7"/>
  <c r="F6" i="7"/>
  <c r="E6" i="7"/>
  <c r="D6" i="7"/>
  <c r="AD5" i="7"/>
  <c r="AC5" i="7"/>
  <c r="AB5" i="7"/>
  <c r="Z5" i="7"/>
  <c r="Y5" i="7"/>
  <c r="X5" i="7"/>
  <c r="T5" i="7"/>
  <c r="S5" i="7"/>
  <c r="R5" i="7"/>
  <c r="P5" i="7"/>
  <c r="O5" i="7"/>
  <c r="N5" i="7"/>
  <c r="J5" i="7"/>
  <c r="I5" i="7"/>
  <c r="H5" i="7"/>
  <c r="F5" i="7"/>
  <c r="E5" i="7"/>
  <c r="D5" i="7"/>
  <c r="AD4" i="7"/>
  <c r="AC4" i="7"/>
  <c r="AB4" i="7"/>
  <c r="Z4" i="7"/>
  <c r="Y4" i="7"/>
  <c r="X4" i="7"/>
  <c r="T4" i="7"/>
  <c r="S4" i="7"/>
  <c r="R4" i="7"/>
  <c r="P4" i="7"/>
  <c r="O4" i="7"/>
  <c r="N4" i="7"/>
  <c r="J4" i="7"/>
  <c r="I4" i="7"/>
  <c r="H4" i="7"/>
  <c r="F4" i="7"/>
  <c r="E4" i="7"/>
  <c r="D4" i="7"/>
  <c r="H63" i="8"/>
  <c r="M21" i="8" s="1"/>
  <c r="G63" i="8"/>
  <c r="D63" i="8"/>
  <c r="O4" i="8" s="1"/>
  <c r="M43" i="8"/>
  <c r="M42" i="8"/>
  <c r="M41" i="8"/>
  <c r="M40" i="8"/>
  <c r="M39" i="8"/>
  <c r="M38" i="8"/>
  <c r="M19" i="8" l="1"/>
  <c r="AN28" i="7"/>
  <c r="AN42" i="7"/>
  <c r="AN70" i="7"/>
  <c r="F68" i="7"/>
  <c r="J68" i="7"/>
  <c r="F54" i="7"/>
  <c r="J54" i="7"/>
  <c r="AD68" i="7"/>
  <c r="P68" i="7"/>
  <c r="T68" i="7"/>
  <c r="Z68" i="7"/>
  <c r="AJ54" i="7"/>
  <c r="AN54" i="7"/>
  <c r="Z54" i="7"/>
  <c r="T26" i="7"/>
  <c r="J40" i="7"/>
  <c r="M22" i="8"/>
  <c r="M23" i="8" s="1"/>
  <c r="P40" i="7"/>
  <c r="O3" i="8"/>
  <c r="P26" i="7"/>
  <c r="AD54" i="7"/>
  <c r="AD26" i="7"/>
  <c r="F11" i="7"/>
  <c r="F12" i="7" s="1"/>
  <c r="Z26" i="7"/>
  <c r="AD40" i="7"/>
  <c r="T54" i="7"/>
  <c r="P54" i="7"/>
  <c r="Z11" i="7"/>
  <c r="P11" i="7"/>
  <c r="J26" i="7"/>
  <c r="F26" i="7"/>
  <c r="T11" i="7"/>
  <c r="J11" i="7"/>
  <c r="F40" i="7"/>
  <c r="T40" i="7"/>
  <c r="Z40" i="7"/>
  <c r="AD11" i="7"/>
  <c r="F2" i="7"/>
  <c r="M15" i="8" l="1"/>
  <c r="M14" i="8"/>
  <c r="M13" i="8"/>
  <c r="M10" i="8"/>
  <c r="M12" i="8"/>
  <c r="M11" i="8"/>
  <c r="N11" i="8" s="1"/>
  <c r="R11" i="8" s="1"/>
  <c r="T70" i="7"/>
  <c r="AD70" i="7"/>
  <c r="AN56" i="7"/>
  <c r="AD56" i="7"/>
  <c r="J28" i="7"/>
  <c r="T28" i="7"/>
  <c r="T13" i="7"/>
  <c r="J42" i="7"/>
  <c r="T42" i="7"/>
  <c r="F13" i="7"/>
  <c r="P13" i="7" s="1"/>
  <c r="Z13" i="7" s="1"/>
  <c r="J13" i="7"/>
  <c r="AD42" i="7"/>
  <c r="AD13" i="7"/>
  <c r="AD28" i="7"/>
  <c r="T56" i="7"/>
  <c r="J12" i="7"/>
  <c r="T12" i="7" s="1"/>
  <c r="P12" i="7"/>
  <c r="Q11" i="8" l="1"/>
  <c r="P11" i="8"/>
  <c r="O11" i="8"/>
  <c r="N12" i="8"/>
  <c r="R12" i="8" s="1"/>
  <c r="N14" i="8"/>
  <c r="N10" i="8"/>
  <c r="R10" i="8" s="1"/>
  <c r="N15" i="8"/>
  <c r="N13" i="8"/>
  <c r="F28" i="7"/>
  <c r="P28" i="7" s="1"/>
  <c r="Z28" i="7" s="1"/>
  <c r="AJ28" i="7" s="1"/>
  <c r="F42" i="7" s="1"/>
  <c r="P42" i="7" s="1"/>
  <c r="Z42" i="7" s="1"/>
  <c r="AJ42" i="7" s="1"/>
  <c r="AJ13" i="7"/>
  <c r="J14" i="7"/>
  <c r="M29" i="8"/>
  <c r="R29" i="8" s="1"/>
  <c r="T14" i="7"/>
  <c r="AD12" i="7"/>
  <c r="AN12" i="7" s="1"/>
  <c r="Z12" i="7"/>
  <c r="P2" i="7"/>
  <c r="M30" i="8" l="1"/>
  <c r="R30" i="8" s="1"/>
  <c r="M31" i="8"/>
  <c r="R31" i="8" s="1"/>
  <c r="R13" i="8"/>
  <c r="Q29" i="8"/>
  <c r="M33" i="8"/>
  <c r="R33" i="8" s="1"/>
  <c r="R15" i="8"/>
  <c r="M32" i="8"/>
  <c r="R32" i="8" s="1"/>
  <c r="R14" i="8"/>
  <c r="P15" i="8"/>
  <c r="O15" i="8"/>
  <c r="Q15" i="8"/>
  <c r="O14" i="8"/>
  <c r="Q14" i="8"/>
  <c r="P14" i="8"/>
  <c r="Q10" i="8"/>
  <c r="O10" i="8"/>
  <c r="P10" i="8"/>
  <c r="O12" i="8"/>
  <c r="Q12" i="8"/>
  <c r="P12" i="8"/>
  <c r="M28" i="8"/>
  <c r="R28" i="8" s="1"/>
  <c r="Q13" i="8"/>
  <c r="P13" i="8"/>
  <c r="O13" i="8"/>
  <c r="AN14" i="7"/>
  <c r="AJ12" i="7"/>
  <c r="N29" i="8"/>
  <c r="P29" i="8"/>
  <c r="O29" i="8"/>
  <c r="F27" i="7"/>
  <c r="AD14" i="7"/>
  <c r="J27" i="7"/>
  <c r="Z2" i="7"/>
  <c r="AJ2" i="7"/>
  <c r="O30" i="8" l="1"/>
  <c r="N30" i="8"/>
  <c r="Q30" i="8"/>
  <c r="P30" i="8"/>
  <c r="P31" i="8"/>
  <c r="O31" i="8"/>
  <c r="N31" i="8"/>
  <c r="O32" i="8"/>
  <c r="N32" i="8"/>
  <c r="P32" i="8"/>
  <c r="Q28" i="8"/>
  <c r="Q33" i="8"/>
  <c r="O33" i="8"/>
  <c r="P33" i="8"/>
  <c r="N33" i="8"/>
  <c r="Q32" i="8"/>
  <c r="Q31" i="8"/>
  <c r="O28" i="8"/>
  <c r="N28" i="8"/>
  <c r="P28" i="8"/>
  <c r="P27" i="7"/>
  <c r="J29" i="7"/>
  <c r="T27" i="7"/>
  <c r="F17" i="7"/>
  <c r="T29" i="7" l="1"/>
  <c r="AD27" i="7"/>
  <c r="AN27" i="7" s="1"/>
  <c r="Z27" i="7"/>
  <c r="P17" i="7"/>
  <c r="AN29" i="7" l="1"/>
  <c r="J41" i="7"/>
  <c r="AJ27" i="7"/>
  <c r="AD29" i="7"/>
  <c r="AJ17" i="7"/>
  <c r="Z17" i="7"/>
  <c r="F41" i="7" l="1"/>
  <c r="J43" i="7"/>
  <c r="T41" i="7"/>
  <c r="F31" i="7"/>
  <c r="P41" i="7" l="1"/>
  <c r="T43" i="7"/>
  <c r="AD41" i="7"/>
  <c r="AN41" i="7" s="1"/>
  <c r="P31" i="7"/>
  <c r="Z41" i="7" l="1"/>
  <c r="AJ41" i="7" s="1"/>
  <c r="AN43" i="7"/>
  <c r="J55" i="7"/>
  <c r="AD43" i="7"/>
  <c r="Z31" i="7"/>
  <c r="AJ31" i="7"/>
  <c r="F55" i="7" l="1"/>
  <c r="J56" i="7" l="1"/>
  <c r="P55" i="7"/>
  <c r="F45" i="7"/>
  <c r="P45" i="7"/>
  <c r="Z55" i="7" l="1"/>
  <c r="Z45" i="7"/>
  <c r="AJ55" i="7" l="1"/>
  <c r="T55" i="7"/>
  <c r="AD55" i="7" s="1"/>
  <c r="F56" i="7"/>
  <c r="P56" i="7" s="1"/>
  <c r="Z56" i="7" s="1"/>
  <c r="AJ45" i="7"/>
  <c r="AJ56" i="7" l="1"/>
  <c r="AD57" i="7"/>
  <c r="AN55" i="7"/>
  <c r="T57" i="7"/>
  <c r="J57" i="7"/>
  <c r="AN57" i="7" l="1"/>
  <c r="J70" i="7"/>
  <c r="F69" i="7"/>
  <c r="P69" i="7" s="1"/>
  <c r="Z69" i="7" s="1"/>
  <c r="AJ69" i="7" l="1"/>
  <c r="F83" i="7" s="1"/>
  <c r="P83" i="7" s="1"/>
  <c r="Z83" i="7" s="1"/>
  <c r="F70" i="7"/>
  <c r="J69" i="7"/>
  <c r="T69" i="7" s="1"/>
  <c r="AJ59" i="7"/>
  <c r="F59" i="7"/>
  <c r="AJ83" i="7" l="1"/>
  <c r="AD69" i="7"/>
  <c r="J71" i="7"/>
  <c r="P70" i="7"/>
  <c r="T71" i="7" s="1"/>
  <c r="AJ73" i="7"/>
  <c r="P59" i="7"/>
  <c r="F97" i="7" l="1"/>
  <c r="P97" i="7" s="1"/>
  <c r="Z97" i="7" s="1"/>
  <c r="Z70" i="7"/>
  <c r="AN69" i="7"/>
  <c r="J83" i="7" s="1"/>
  <c r="Z59" i="7"/>
  <c r="T83" i="7" l="1"/>
  <c r="AJ97" i="7"/>
  <c r="AJ70" i="7"/>
  <c r="AD71" i="7"/>
  <c r="AJ87" i="7"/>
  <c r="AN71" i="7" l="1"/>
  <c r="F84" i="7"/>
  <c r="F111" i="7"/>
  <c r="P111" i="7" s="1"/>
  <c r="Z111" i="7" s="1"/>
  <c r="AD83" i="7"/>
  <c r="F73" i="7"/>
  <c r="AJ111" i="7" l="1"/>
  <c r="AN83" i="7"/>
  <c r="P84" i="7"/>
  <c r="J85" i="7"/>
  <c r="AJ101" i="7"/>
  <c r="P73" i="7"/>
  <c r="Z84" i="7" l="1"/>
  <c r="T85" i="7"/>
  <c r="J97" i="7"/>
  <c r="Z73" i="7"/>
  <c r="T97" i="7" l="1"/>
  <c r="AJ84" i="7"/>
  <c r="AD85" i="7"/>
  <c r="F98" i="7" l="1"/>
  <c r="AN85" i="7"/>
  <c r="AD97" i="7"/>
  <c r="F87" i="7"/>
  <c r="AN97" i="7" l="1"/>
  <c r="P98" i="7"/>
  <c r="J99" i="7"/>
  <c r="P87" i="7"/>
  <c r="Z98" i="7" l="1"/>
  <c r="T99" i="7"/>
  <c r="J111" i="7"/>
  <c r="Z87" i="7"/>
  <c r="T111" i="7" l="1"/>
  <c r="AJ98" i="7"/>
  <c r="AD99" i="7"/>
  <c r="F112" i="7" l="1"/>
  <c r="AN99" i="7"/>
  <c r="AD111" i="7"/>
  <c r="F101" i="7"/>
  <c r="AN111" i="7" l="1"/>
  <c r="P112" i="7"/>
  <c r="J113" i="7"/>
  <c r="P101" i="7"/>
  <c r="Z112" i="7" l="1"/>
  <c r="T113" i="7"/>
  <c r="Z101" i="7"/>
  <c r="AJ112" i="7" l="1"/>
  <c r="AN113" i="7" s="1"/>
  <c r="AD113" i="7"/>
</calcChain>
</file>

<file path=xl/sharedStrings.xml><?xml version="1.0" encoding="utf-8"?>
<sst xmlns="http://schemas.openxmlformats.org/spreadsheetml/2006/main" count="1763" uniqueCount="608">
  <si>
    <t>Fall 2014</t>
  </si>
  <si>
    <t>Fall 2013</t>
  </si>
  <si>
    <t>Spring 2014</t>
  </si>
  <si>
    <t>Spring 2015</t>
  </si>
  <si>
    <t>Total Credits</t>
  </si>
  <si>
    <t xml:space="preserve">Fall 2016   </t>
  </si>
  <si>
    <t xml:space="preserve">Spring 2016   </t>
  </si>
  <si>
    <t>Course Name</t>
  </si>
  <si>
    <t>Course Description</t>
  </si>
  <si>
    <t>Major</t>
  </si>
  <si>
    <t>Credits</t>
  </si>
  <si>
    <t>Semester Taken</t>
  </si>
  <si>
    <t>Enrolled</t>
  </si>
  <si>
    <t>Complete</t>
  </si>
  <si>
    <t>GPA</t>
  </si>
  <si>
    <t>Winterim 2014</t>
  </si>
  <si>
    <t>Cum GPA</t>
  </si>
  <si>
    <t>Cum Grade Points</t>
  </si>
  <si>
    <t>Cum Credits</t>
  </si>
  <si>
    <t>Cum GPA Credits</t>
  </si>
  <si>
    <t>Course</t>
  </si>
  <si>
    <t>Winterim 2016</t>
  </si>
  <si>
    <t>Spring 2017</t>
  </si>
  <si>
    <t>Winterim 2017</t>
  </si>
  <si>
    <t>Name</t>
  </si>
  <si>
    <t>Degree</t>
  </si>
  <si>
    <t xml:space="preserve"> </t>
  </si>
  <si>
    <t>Grade Points</t>
  </si>
  <si>
    <t>GradePoints</t>
  </si>
  <si>
    <r>
      <t>Winterim 2015---</t>
    </r>
    <r>
      <rPr>
        <b/>
        <u/>
        <sz val="16"/>
        <color rgb="FFFF0000"/>
        <rFont val="Calibri"/>
        <family val="2"/>
        <scheme val="minor"/>
      </rPr>
      <t>Register Nov 4th</t>
    </r>
  </si>
  <si>
    <t>Notes</t>
  </si>
  <si>
    <t>Total GPA Credits</t>
  </si>
  <si>
    <t>To be lost</t>
  </si>
  <si>
    <t>A-'s</t>
  </si>
  <si>
    <t>B's</t>
  </si>
  <si>
    <t>C's</t>
  </si>
  <si>
    <t>Completed</t>
  </si>
  <si>
    <t>Completed Credits</t>
  </si>
  <si>
    <t>Current GPA</t>
  </si>
  <si>
    <t>Possible Grade Points</t>
  </si>
  <si>
    <t>Lost Grade Points</t>
  </si>
  <si>
    <t>How many more of each grade can I get then?</t>
  </si>
  <si>
    <t>What about Right now??</t>
  </si>
  <si>
    <t>At the End of my College Career I will have…</t>
  </si>
  <si>
    <t>So How many of each Letter Grade Can I get for given GPA's?</t>
  </si>
  <si>
    <t>GP can lose</t>
  </si>
  <si>
    <t>Semester GPA</t>
  </si>
  <si>
    <t xml:space="preserve">per course would lose </t>
  </si>
  <si>
    <t>A</t>
  </si>
  <si>
    <t>A-</t>
  </si>
  <si>
    <t>B</t>
  </si>
  <si>
    <t>C</t>
  </si>
  <si>
    <t>D</t>
  </si>
  <si>
    <t>F</t>
  </si>
  <si>
    <t>Summer 2017</t>
  </si>
  <si>
    <t>Winterim 2018</t>
  </si>
  <si>
    <t>Spring 2018</t>
  </si>
  <si>
    <t>Summer 2016</t>
  </si>
  <si>
    <t>Summer 2015</t>
  </si>
  <si>
    <t>Summer 2018</t>
  </si>
  <si>
    <t>Courses Left</t>
  </si>
  <si>
    <t>Courses Completed</t>
  </si>
  <si>
    <t>Counter</t>
  </si>
  <si>
    <t>D's</t>
  </si>
  <si>
    <t>Senior</t>
  </si>
  <si>
    <t>Junior</t>
  </si>
  <si>
    <t>Sophomore</t>
  </si>
  <si>
    <t>Freshmen</t>
  </si>
  <si>
    <t>Starting Credits:</t>
  </si>
  <si>
    <t xml:space="preserve">6) </t>
  </si>
  <si>
    <t>Click Here to go to the Semester View</t>
  </si>
  <si>
    <t>For Each Term enter in the name of the course into an empty bold box in that term.</t>
  </si>
  <si>
    <t>5)</t>
  </si>
  <si>
    <t>Go to the "Semester View" sheet and edit the Term names to correspond with the terms you need</t>
  </si>
  <si>
    <t>4)</t>
  </si>
  <si>
    <t>Click Here to go to the Course List Table</t>
  </si>
  <si>
    <t>Go to the "Course List" Sheet And enter in all of the courses that are required to complete your major Into the Courses Table</t>
  </si>
  <si>
    <t>3)</t>
  </si>
  <si>
    <t>Enter in the necessary setup information below, outlined in Yellow.</t>
  </si>
  <si>
    <t xml:space="preserve">2) </t>
  </si>
  <si>
    <t>Attempting to edit other cells will display an error message saying the cell is locked.</t>
  </si>
  <si>
    <t>1)</t>
  </si>
  <si>
    <t>http://www.nickbolles.com</t>
  </si>
  <si>
    <r>
      <rPr>
        <sz val="11"/>
        <color theme="4" tint="-0.499984740745262"/>
        <rFont val="Calibri"/>
        <family val="2"/>
        <scheme val="minor"/>
      </rPr>
      <t>By: Nick Bolles</t>
    </r>
    <r>
      <rPr>
        <sz val="11"/>
        <color theme="1"/>
        <rFont val="Calibri"/>
        <family val="2"/>
        <scheme val="minor"/>
      </rPr>
      <t xml:space="preserve">    Visit Me At: </t>
    </r>
  </si>
  <si>
    <t>Use The Below Area as a Scratch Area</t>
  </si>
  <si>
    <t>enter in the gradepoints for the course on the Courselist Table and enter "Y" into the Completed Column</t>
  </si>
  <si>
    <t xml:space="preserve">When a course is completed, or if you would like to see estimates of your grade, </t>
  </si>
  <si>
    <t>Grade Standing:</t>
  </si>
  <si>
    <t>2013-2014</t>
  </si>
  <si>
    <t>2014-2015</t>
  </si>
  <si>
    <t>2015-2016</t>
  </si>
  <si>
    <t>2016-2017</t>
  </si>
  <si>
    <t>2017-2018</t>
  </si>
  <si>
    <t>Fall 2017</t>
  </si>
  <si>
    <t>Winterim</t>
  </si>
  <si>
    <t>Spring</t>
  </si>
  <si>
    <t>Summer</t>
  </si>
  <si>
    <t>Enter in Starting credits from (for example) A.P. tests</t>
  </si>
  <si>
    <t>F's</t>
  </si>
  <si>
    <t xml:space="preserve">7) </t>
  </si>
  <si>
    <t>Extra Sheets can be used to paste advising reports, planning sheets, etc</t>
  </si>
  <si>
    <t>How to use this Workbook</t>
  </si>
  <si>
    <t>First: Fill Out The Following Information</t>
  </si>
  <si>
    <t>Fall 2015</t>
  </si>
  <si>
    <t>Note: This name of the course MUST match the name entered on the courses Table</t>
  </si>
  <si>
    <t>Note: Any Edits to courses must be done on the Course List Sheet, in the Courses Table</t>
  </si>
  <si>
    <r>
      <t xml:space="preserve">Only attempt to edit boxes that are outlined in </t>
    </r>
    <r>
      <rPr>
        <b/>
        <sz val="11"/>
        <rFont val="Calibri"/>
        <family val="2"/>
        <scheme val="minor"/>
      </rPr>
      <t>black,</t>
    </r>
    <r>
      <rPr>
        <sz val="11"/>
        <color theme="0"/>
        <rFont val="Calibri"/>
        <family val="2"/>
        <scheme val="minor"/>
      </rPr>
      <t xml:space="preserve"> or that are in the </t>
    </r>
    <r>
      <rPr>
        <b/>
        <sz val="11"/>
        <rFont val="Calibri"/>
        <family val="2"/>
        <scheme val="minor"/>
      </rPr>
      <t>courses-list Table</t>
    </r>
  </si>
  <si>
    <t>Tips:</t>
  </si>
  <si>
    <t xml:space="preserve"> above the section. The same can be done for a school year, by clicking the plus or minus button to the left of the section</t>
  </si>
  <si>
    <r>
      <t xml:space="preserve">You can hide/show a term type (fall, Winterim, Summer, etc) in the </t>
    </r>
    <r>
      <rPr>
        <i/>
        <sz val="11"/>
        <color theme="1"/>
        <rFont val="Calibri"/>
        <family val="2"/>
        <scheme val="minor"/>
      </rPr>
      <t xml:space="preserve">Semester View </t>
    </r>
    <r>
      <rPr>
        <sz val="11"/>
        <color theme="1"/>
        <rFont val="Calibri"/>
        <family val="2"/>
        <scheme val="minor"/>
      </rPr>
      <t xml:space="preserve">by clicking on the plus/minus button in the margin </t>
    </r>
  </si>
  <si>
    <r>
      <t xml:space="preserve">On the </t>
    </r>
    <r>
      <rPr>
        <i/>
        <sz val="11"/>
        <color theme="1"/>
        <rFont val="Calibri"/>
        <family val="2"/>
        <scheme val="minor"/>
      </rPr>
      <t>Course List</t>
    </r>
    <r>
      <rPr>
        <sz val="11"/>
        <color theme="1"/>
        <rFont val="Calibri"/>
        <family val="2"/>
        <scheme val="minor"/>
      </rPr>
      <t xml:space="preserve"> sheet, there is a section that analyzes how many of each grade you can get, for your entire college career and </t>
    </r>
  </si>
  <si>
    <t>from now until the end of your college career.</t>
  </si>
  <si>
    <t>Just make sure to enter "Y" in the Completed Column to include it into the Calculations</t>
  </si>
  <si>
    <r>
      <t xml:space="preserve">You can temperarily enter in Grade Points for a course on the </t>
    </r>
    <r>
      <rPr>
        <i/>
        <sz val="11"/>
        <color theme="1"/>
        <rFont val="Calibri"/>
        <family val="2"/>
        <scheme val="minor"/>
      </rPr>
      <t>Course List</t>
    </r>
    <r>
      <rPr>
        <sz val="11"/>
        <color theme="1"/>
        <rFont val="Calibri"/>
        <family val="2"/>
        <scheme val="minor"/>
      </rPr>
      <t xml:space="preserve"> table to see what your GPA would be in a certain scenario. </t>
    </r>
  </si>
  <si>
    <r>
      <t xml:space="preserve">If you Like this worksheet keep an eye out for my </t>
    </r>
    <r>
      <rPr>
        <b/>
        <sz val="11"/>
        <color theme="1"/>
        <rFont val="Calibri"/>
        <family val="2"/>
        <scheme val="minor"/>
      </rPr>
      <t>app,</t>
    </r>
    <r>
      <rPr>
        <sz val="11"/>
        <color theme="1"/>
        <rFont val="Calibri"/>
        <family val="2"/>
        <scheme val="minor"/>
      </rPr>
      <t xml:space="preserve"> which will make this and so much more even </t>
    </r>
    <r>
      <rPr>
        <b/>
        <sz val="11"/>
        <color theme="1"/>
        <rFont val="Calibri"/>
        <family val="2"/>
        <scheme val="minor"/>
      </rPr>
      <t>easier!</t>
    </r>
    <r>
      <rPr>
        <sz val="11"/>
        <color theme="1"/>
        <rFont val="Calibri"/>
        <family val="2"/>
        <scheme val="minor"/>
      </rPr>
      <t xml:space="preserve"> Keep an eye on </t>
    </r>
    <r>
      <rPr>
        <b/>
        <sz val="11"/>
        <color theme="1"/>
        <rFont val="Calibri"/>
        <family val="2"/>
        <scheme val="minor"/>
      </rPr>
      <t>nickbolles.com</t>
    </r>
    <r>
      <rPr>
        <sz val="11"/>
        <color theme="1"/>
        <rFont val="Calibri"/>
        <family val="2"/>
        <scheme val="minor"/>
      </rPr>
      <t xml:space="preserve"> for a release near the </t>
    </r>
    <r>
      <rPr>
        <b/>
        <sz val="11"/>
        <color theme="1"/>
        <rFont val="Calibri"/>
        <family val="2"/>
        <scheme val="minor"/>
      </rPr>
      <t>end of 2015!</t>
    </r>
  </si>
  <si>
    <t xml:space="preserve">This is used to determine what year, credit-wise you are. </t>
  </si>
  <si>
    <t>Check your Schools registrar website for this information</t>
  </si>
  <si>
    <t>ITSCM 285</t>
  </si>
  <si>
    <t>Waived</t>
  </si>
  <si>
    <t>IT</t>
  </si>
  <si>
    <t>-------------------------</t>
  </si>
  <si>
    <t>y</t>
  </si>
  <si>
    <t>CompSci 172</t>
  </si>
  <si>
    <t xml:space="preserve">Intro To Java </t>
  </si>
  <si>
    <t>fall 2013</t>
  </si>
  <si>
    <t>English 101</t>
  </si>
  <si>
    <t>English 1</t>
  </si>
  <si>
    <t>Both</t>
  </si>
  <si>
    <t>Gened 130</t>
  </si>
  <si>
    <t>Individual and Society</t>
  </si>
  <si>
    <t>GenEd 140</t>
  </si>
  <si>
    <t>Global Perspectives</t>
  </si>
  <si>
    <t>Intraunv 104</t>
  </si>
  <si>
    <t>New Student Seminar</t>
  </si>
  <si>
    <t>ITBE 141</t>
  </si>
  <si>
    <t>Intro To Business</t>
  </si>
  <si>
    <t>Account 244</t>
  </si>
  <si>
    <t>Intro To Accounting</t>
  </si>
  <si>
    <t>fall 2014</t>
  </si>
  <si>
    <t>CompSci 220</t>
  </si>
  <si>
    <t xml:space="preserve">Intermed Java </t>
  </si>
  <si>
    <t>CompSci</t>
  </si>
  <si>
    <t>Econ 245</t>
  </si>
  <si>
    <t>Business Stats</t>
  </si>
  <si>
    <t>ITSCM 280</t>
  </si>
  <si>
    <t>Excel/Access</t>
  </si>
  <si>
    <t>Math 280</t>
  </si>
  <si>
    <t>Discrete Mathmatics  3 out of 11 elective units</t>
  </si>
  <si>
    <t>BEINDP 288</t>
  </si>
  <si>
    <t>Career Information   (Changing to BEINDP 288 Fall 2015)</t>
  </si>
  <si>
    <t>n</t>
  </si>
  <si>
    <t>BEINDP 290</t>
  </si>
  <si>
    <t>Business Communication (Changing to BEINDP 290 Fall 2015)</t>
  </si>
  <si>
    <t>Comm 110</t>
  </si>
  <si>
    <t>Speech and Comm Try for Winterim</t>
  </si>
  <si>
    <t>CompSci 476</t>
  </si>
  <si>
    <t>COMPSCI 476 SOFTWARE ENGINEERING</t>
  </si>
  <si>
    <t>Diversity</t>
  </si>
  <si>
    <t>History 125 - American Hist since 1877</t>
  </si>
  <si>
    <t>CS Emphasis 1-1</t>
  </si>
  <si>
    <t>CompSci 332 Intro to AI</t>
  </si>
  <si>
    <t>CompSci 412</t>
  </si>
  <si>
    <t>COMPUTER ORGANIZATION AND SYSTEM PROGRAMMING</t>
  </si>
  <si>
    <t>Fall 2016</t>
  </si>
  <si>
    <t>CS Emphasis 1-2</t>
  </si>
  <si>
    <t>Specialization Areas (Select six credits from each of any two areas)</t>
  </si>
  <si>
    <t>CS Emphasis 2-1</t>
  </si>
  <si>
    <t>FNBSLW 344</t>
  </si>
  <si>
    <r>
      <rPr>
        <b/>
        <sz val="11"/>
        <color theme="1"/>
        <rFont val="Calibri"/>
        <family val="2"/>
        <scheme val="minor"/>
      </rPr>
      <t xml:space="preserve">S 15   UD </t>
    </r>
    <r>
      <rPr>
        <sz val="11"/>
        <color theme="1"/>
        <rFont val="Calibri"/>
        <family val="2"/>
        <scheme val="minor"/>
      </rPr>
      <t>business law</t>
    </r>
  </si>
  <si>
    <t>Could be taken summer 2015 online</t>
  </si>
  <si>
    <t>IT Elective-3</t>
  </si>
  <si>
    <t>ITSCM 320 Business Analysis -Business Analysis Emph</t>
  </si>
  <si>
    <t>ITSCM 306</t>
  </si>
  <si>
    <r>
      <rPr>
        <b/>
        <sz val="11"/>
        <color theme="1"/>
        <rFont val="Calibri"/>
        <family val="2"/>
        <scheme val="minor"/>
      </rPr>
      <t xml:space="preserve">SW15 UD </t>
    </r>
    <r>
      <rPr>
        <sz val="11"/>
        <color theme="1"/>
        <rFont val="Calibri"/>
        <family val="2"/>
        <scheme val="minor"/>
      </rPr>
      <t>Operations Mngmt</t>
    </r>
  </si>
  <si>
    <t>Could be taken summer 2015 online or winterim 2015</t>
  </si>
  <si>
    <t>Bio 120</t>
  </si>
  <si>
    <t xml:space="preserve">Bio 120--Intro To Bio  </t>
  </si>
  <si>
    <t>Econ 201</t>
  </si>
  <si>
    <t>Economics</t>
  </si>
  <si>
    <t>English 102</t>
  </si>
  <si>
    <t>English 2</t>
  </si>
  <si>
    <t>ITSCM 221</t>
  </si>
  <si>
    <t>Intro To Networking</t>
  </si>
  <si>
    <t>PEGNRL 192</t>
  </si>
  <si>
    <t>Health</t>
  </si>
  <si>
    <t>Account 249</t>
  </si>
  <si>
    <t>Intermediate Accounting</t>
  </si>
  <si>
    <t>spring 2015</t>
  </si>
  <si>
    <t>CompSci 223</t>
  </si>
  <si>
    <t>Data Structures</t>
  </si>
  <si>
    <t>CompSci 271</t>
  </si>
  <si>
    <t>Assembly Programming</t>
  </si>
  <si>
    <t>Econ 202</t>
  </si>
  <si>
    <t>Macro Economics</t>
  </si>
  <si>
    <t>International Req</t>
  </si>
  <si>
    <t>Geography 230</t>
  </si>
  <si>
    <t>IT Elective-2</t>
  </si>
  <si>
    <t>ITSCM 321 Systems Analysis and Design</t>
  </si>
  <si>
    <t>Spring 2016</t>
  </si>
  <si>
    <t>CompSci 433</t>
  </si>
  <si>
    <t>THEORY OF ALGORITHMS</t>
  </si>
  <si>
    <t>FNBSLW 341</t>
  </si>
  <si>
    <t>SW15 W16 UD Intro tobusiness law</t>
  </si>
  <si>
    <t>IT Elective-1</t>
  </si>
  <si>
    <r>
      <rPr>
        <b/>
        <sz val="11"/>
        <color rgb="FFFF0000"/>
        <rFont val="Calibri"/>
        <family val="2"/>
        <scheme val="minor"/>
      </rPr>
      <t xml:space="preserve">ITSCM 314 </t>
    </r>
    <r>
      <rPr>
        <sz val="11"/>
        <color theme="1"/>
        <rFont val="Calibri"/>
        <family val="2"/>
        <scheme val="minor"/>
      </rPr>
      <t>Advanced Database Design -Business Analysis Emph</t>
    </r>
  </si>
  <si>
    <t>IT Elective-4</t>
  </si>
  <si>
    <t>ITSCM 495 Emerging Technologies</t>
  </si>
  <si>
    <t>Makeup for CompSci 174</t>
  </si>
  <si>
    <t>CS 300+</t>
  </si>
  <si>
    <t>Intro to C++   because 171 wont count towards both majors</t>
  </si>
  <si>
    <t>CS Elective</t>
  </si>
  <si>
    <t>300 Level CS course 3 out of 11 elective units</t>
  </si>
  <si>
    <t>CS Emphasis 2-2</t>
  </si>
  <si>
    <t>ITSCM 385</t>
  </si>
  <si>
    <t>Project Management</t>
  </si>
  <si>
    <t>ITSCM 451</t>
  </si>
  <si>
    <t>Managing Information Technology Systems</t>
  </si>
  <si>
    <t>Makeup For ITSCM 285</t>
  </si>
  <si>
    <t>W15 ITSCM 380 Business Intelligence-Business Analysis Emph</t>
  </si>
  <si>
    <t>Could be taken winterim 2015 (3 sections 2 online)</t>
  </si>
  <si>
    <t>Management 489</t>
  </si>
  <si>
    <t>SW15 Sr Level</t>
  </si>
  <si>
    <t>English 370</t>
  </si>
  <si>
    <t>S15  Or English 372</t>
  </si>
  <si>
    <t>GENED 390</t>
  </si>
  <si>
    <t>SW15 World of Ideas</t>
  </si>
  <si>
    <t>Marketing 311</t>
  </si>
  <si>
    <r>
      <t>S15   UD</t>
    </r>
    <r>
      <rPr>
        <sz val="11"/>
        <color theme="1"/>
        <rFont val="Calibri"/>
        <family val="2"/>
        <scheme val="minor"/>
      </rPr>
      <t xml:space="preserve"> Marketing</t>
    </r>
  </si>
  <si>
    <t>Management 301</t>
  </si>
  <si>
    <r>
      <t xml:space="preserve">S15  UD </t>
    </r>
    <r>
      <rPr>
        <sz val="11"/>
        <color theme="1"/>
        <rFont val="Calibri"/>
        <family val="2"/>
        <scheme val="minor"/>
      </rPr>
      <t>Organizational Behavior</t>
    </r>
  </si>
  <si>
    <t>Gened 110</t>
  </si>
  <si>
    <t>WOTA</t>
  </si>
  <si>
    <t>Gened 390</t>
  </si>
  <si>
    <t>Summer 2014</t>
  </si>
  <si>
    <t>Makeup for ITSCM 285</t>
  </si>
  <si>
    <t>Itscm 385</t>
  </si>
  <si>
    <t>2015 Schedule Of Classes</t>
  </si>
  <si>
    <t>CORE COURSES</t>
  </si>
  <si>
    <t>These courses may not be taken on a S/NC basis</t>
  </si>
  <si>
    <t>For Winterim only: All non-business undergraduate and graduate students who have at least a 2.0 GPA will be eligible to enroll in College of Business and Economics undergraduate courses if all requisites are completed. Undergraduate students must have completed 24 units to schedule lower division classes and 60 units to schedule upper division classes. Students who do not meet course requirements will be notified and asked to call the Assistant Dean of the College of Business and Economics at (262) 472-4900. Pre-business and business majors must meet all College of Business and Economics requirements as follows: To enroll in a lower division business course, a business major must have 24 units completed and a 2.50 cumulative combined grade point average. To enroll in a 300- or 400-level business course, a business major must first be admitted to the College of Business and Economics and maintain a 2.50 cumulative combined grade point average. The College admission policies can be found in the University Bulletin, on-line, or by calling the Assistant Dean’s office.Enrollment preference in all business courses will be given to the following officially declared majors and minors: All BBA Majors; Management Computer Systems Majors; Business Education Majors; Public Policy &amp; Administration Majors; Occupational Safety Majors; Public Administration Minors; Professional Business Minors; Individually Designed Majors &amp; Minors; Arts Management Minors; Arts Merchandising Minors.</t>
  </si>
  <si>
    <t>World of the Arts</t>
  </si>
  <si>
    <t>Historical Perspectives</t>
  </si>
  <si>
    <t>ACCOUNTING</t>
  </si>
  <si>
    <t>CURRICULUM &amp; INSTRUCTION</t>
  </si>
  <si>
    <t>GENED 110, Section 1</t>
  </si>
  <si>
    <t>GENED 120, Section 1</t>
  </si>
  <si>
    <t>Introduction to Managerial Accounting</t>
  </si>
  <si>
    <t>Introduction to Financial Accounting</t>
  </si>
  <si>
    <t>Reading in the Elementary/Middle School</t>
  </si>
  <si>
    <t>3 Units</t>
  </si>
  <si>
    <t>ACCOUNT 249, Section 22</t>
  </si>
  <si>
    <t>ACCOUNT 748, Section 1</t>
  </si>
  <si>
    <t>READING 360, Section 1</t>
  </si>
  <si>
    <t>General Education (GA)</t>
  </si>
  <si>
    <t>General Education (GH)</t>
  </si>
  <si>
    <r>
      <t>Instructor:</t>
    </r>
    <r>
      <rPr>
        <sz val="12"/>
        <color rgb="FF666666"/>
        <rFont val="Arial"/>
        <family val="2"/>
      </rPr>
      <t> Charles Grover</t>
    </r>
  </si>
  <si>
    <r>
      <t>Instructor:</t>
    </r>
    <r>
      <rPr>
        <sz val="12"/>
        <color rgb="FF666666"/>
        <rFont val="Arial"/>
        <family val="2"/>
      </rPr>
      <t> Adam Paddock</t>
    </r>
  </si>
  <si>
    <r>
      <t>Prereq:</t>
    </r>
    <r>
      <rPr>
        <sz val="12"/>
        <color rgb="FF666666"/>
        <rFont val="Arial"/>
        <family val="2"/>
      </rPr>
      <t> ACCOUNT 244</t>
    </r>
  </si>
  <si>
    <r>
      <t>Prereq:</t>
    </r>
    <r>
      <rPr>
        <sz val="12"/>
        <color rgb="FF666666"/>
        <rFont val="Arial"/>
        <family val="2"/>
      </rPr>
      <t> ACCOUNT 343 or consent of department.</t>
    </r>
  </si>
  <si>
    <r>
      <t>Prereq:</t>
    </r>
    <r>
      <rPr>
        <sz val="12"/>
        <color rgb="FF666666"/>
        <rFont val="Arial"/>
        <family val="2"/>
      </rPr>
      <t> Admission to Professional Education</t>
    </r>
  </si>
  <si>
    <r>
      <t>Location:</t>
    </r>
    <r>
      <rPr>
        <sz val="12"/>
        <color rgb="FF666666"/>
        <rFont val="Arial"/>
        <family val="2"/>
      </rPr>
      <t> Online</t>
    </r>
  </si>
  <si>
    <r>
      <t>Instructor:</t>
    </r>
    <r>
      <rPr>
        <sz val="12"/>
        <color rgb="FF666666"/>
        <rFont val="Arial"/>
        <family val="2"/>
      </rPr>
      <t> Robert Gruber</t>
    </r>
  </si>
  <si>
    <r>
      <t>Instructor:</t>
    </r>
    <r>
      <rPr>
        <sz val="12"/>
        <color rgb="FF666666"/>
        <rFont val="Arial"/>
        <family val="2"/>
      </rPr>
      <t> Meifang Xiang</t>
    </r>
  </si>
  <si>
    <r>
      <t>Instructor:</t>
    </r>
    <r>
      <rPr>
        <sz val="12"/>
        <color rgb="FF666666"/>
        <rFont val="Arial"/>
        <family val="2"/>
      </rPr>
      <t> Patricia Shaw</t>
    </r>
  </si>
  <si>
    <r>
      <t>Note:</t>
    </r>
    <r>
      <rPr>
        <sz val="12"/>
        <color rgb="FF666666"/>
        <rFont val="Arial"/>
        <family val="2"/>
      </rPr>
      <t> $150 distance education fee added to tuition</t>
    </r>
  </si>
  <si>
    <r>
      <t>Location:</t>
    </r>
    <r>
      <rPr>
        <sz val="12"/>
        <color rgb="FF666666"/>
        <rFont val="Arial"/>
        <family val="2"/>
      </rPr>
      <t> Hyland 2310</t>
    </r>
  </si>
  <si>
    <t>World of Ideas</t>
  </si>
  <si>
    <r>
      <t>Note:</t>
    </r>
    <r>
      <rPr>
        <sz val="12"/>
        <color rgb="FF666666"/>
        <rFont val="Arial"/>
        <family val="2"/>
      </rPr>
      <t> Tuition for online COBE undergraduate courses is $389 per credit.</t>
    </r>
  </si>
  <si>
    <r>
      <t>Schedule:</t>
    </r>
    <r>
      <rPr>
        <sz val="12"/>
        <color rgb="FF666666"/>
        <rFont val="Arial"/>
        <family val="2"/>
      </rPr>
      <t> 1:30-4:35 p.m., MTWRF</t>
    </r>
  </si>
  <si>
    <t>GENED 130, Section 1</t>
  </si>
  <si>
    <t>GENED 390, Section 1</t>
  </si>
  <si>
    <t>FINANCE &amp; BUSINESS LAW</t>
  </si>
  <si>
    <t>EDUCATIONAL FOUNDATIONS</t>
  </si>
  <si>
    <t>Business and Commercial Law</t>
  </si>
  <si>
    <t>Measurement and Evaluation in Physical Education</t>
  </si>
  <si>
    <t>General Education (GS)</t>
  </si>
  <si>
    <t>FNBSLW 341, Section 1</t>
  </si>
  <si>
    <t>EDFOUND 423, Section 1</t>
  </si>
  <si>
    <r>
      <t>Instructor:</t>
    </r>
    <r>
      <rPr>
        <sz val="12"/>
        <color rgb="FF666666"/>
        <rFont val="Arial"/>
        <family val="2"/>
      </rPr>
      <t> Michael Oldani</t>
    </r>
  </si>
  <si>
    <r>
      <t>Prereq:</t>
    </r>
    <r>
      <rPr>
        <sz val="12"/>
        <color rgb="FF666666"/>
        <rFont val="Arial"/>
        <family val="2"/>
      </rPr>
      <t> Completion of English proficiency, junior standing and completion of all other core courses.</t>
    </r>
  </si>
  <si>
    <r>
      <t>Instructor:</t>
    </r>
    <r>
      <rPr>
        <sz val="12"/>
        <color rgb="FF666666"/>
        <rFont val="Arial"/>
        <family val="2"/>
      </rPr>
      <t> David Cartwright</t>
    </r>
  </si>
  <si>
    <r>
      <t>Instructor:</t>
    </r>
    <r>
      <rPr>
        <sz val="12"/>
        <color rgb="FF666666"/>
        <rFont val="Arial"/>
        <family val="2"/>
      </rPr>
      <t> Jonathan Saffold and Curt Weber</t>
    </r>
  </si>
  <si>
    <r>
      <t>Prereq:</t>
    </r>
    <r>
      <rPr>
        <sz val="12"/>
        <color rgb="FF666666"/>
        <rFont val="Arial"/>
        <family val="2"/>
      </rPr>
      <t> Junior status and admission to Professional Education</t>
    </r>
  </si>
  <si>
    <r>
      <t>Location:</t>
    </r>
    <r>
      <rPr>
        <sz val="12"/>
        <color rgb="FF666666"/>
        <rFont val="Arial"/>
        <family val="2"/>
      </rPr>
      <t> Hyer 217</t>
    </r>
  </si>
  <si>
    <r>
      <t>Location:</t>
    </r>
    <r>
      <rPr>
        <sz val="12"/>
        <color rgb="FF666666"/>
        <rFont val="Arial"/>
        <family val="2"/>
      </rPr>
      <t> Hyland 2317</t>
    </r>
  </si>
  <si>
    <r>
      <t>Instructor:</t>
    </r>
    <r>
      <rPr>
        <sz val="12"/>
        <color rgb="FF666666"/>
        <rFont val="Arial"/>
        <family val="2"/>
      </rPr>
      <t> Michael Laughlin</t>
    </r>
  </si>
  <si>
    <r>
      <t>Schedule:</t>
    </r>
    <r>
      <rPr>
        <sz val="12"/>
        <color rgb="FF666666"/>
        <rFont val="Arial"/>
        <family val="2"/>
      </rPr>
      <t> 8:30-11:35 a.m., MTWRF</t>
    </r>
  </si>
  <si>
    <r>
      <t>Schedule:</t>
    </r>
    <r>
      <rPr>
        <sz val="12"/>
        <color rgb="FF666666"/>
        <rFont val="Arial"/>
        <family val="2"/>
      </rPr>
      <t> 8:30 - 11:35a.m., MTWRF</t>
    </r>
  </si>
  <si>
    <t>INFORMATION TECHNOLOGY &amp; SUPPLY CHAIN MANAGEMENT</t>
  </si>
  <si>
    <t>GENED 390, Section 2</t>
  </si>
  <si>
    <t>Operations Management</t>
  </si>
  <si>
    <t>Business Communications</t>
  </si>
  <si>
    <t>ITSCM 306, Section 22</t>
  </si>
  <si>
    <t>ITBE 353, Section 1</t>
  </si>
  <si>
    <t>HEALTH, PHYSICAL EDUCATION, RECREATION &amp; COACHING</t>
  </si>
  <si>
    <t>Introduction to Coaching</t>
  </si>
  <si>
    <t>Personal Health and Fitness for Life</t>
  </si>
  <si>
    <r>
      <t>Prereq:</t>
    </r>
    <r>
      <rPr>
        <sz val="12"/>
        <color rgb="FF666666"/>
        <rFont val="Arial"/>
        <family val="2"/>
      </rPr>
      <t> MATH 143 or MATH 243 or MATH 250 or (MATH 253 or ECON 245)</t>
    </r>
  </si>
  <si>
    <r>
      <t>Instructor:</t>
    </r>
    <r>
      <rPr>
        <sz val="12"/>
        <color rgb="FF666666"/>
        <rFont val="Arial"/>
        <family val="2"/>
      </rPr>
      <t> Jo Ann Oravec</t>
    </r>
  </si>
  <si>
    <t>COACHING 240, Section 1</t>
  </si>
  <si>
    <t>PEGNRL 192, Section 1</t>
  </si>
  <si>
    <r>
      <t>Instructor:</t>
    </r>
    <r>
      <rPr>
        <sz val="12"/>
        <color rgb="FF666666"/>
        <rFont val="Arial"/>
        <family val="2"/>
      </rPr>
      <t> Olesya Ostapenko</t>
    </r>
  </si>
  <si>
    <r>
      <t>Instructor:</t>
    </r>
    <r>
      <rPr>
        <sz val="12"/>
        <color rgb="FF666666"/>
        <rFont val="Arial"/>
        <family val="2"/>
      </rPr>
      <t> James Sisak</t>
    </r>
  </si>
  <si>
    <r>
      <t>Location:</t>
    </r>
    <r>
      <rPr>
        <sz val="12"/>
        <color rgb="FF666666"/>
        <rFont val="Arial"/>
        <family val="2"/>
      </rPr>
      <t> Hyland 2307</t>
    </r>
  </si>
  <si>
    <t>2 Units</t>
  </si>
  <si>
    <t>1 Unit</t>
  </si>
  <si>
    <r>
      <t>Schedule:</t>
    </r>
    <r>
      <rPr>
        <sz val="12"/>
        <color rgb="FF666666"/>
        <rFont val="Arial"/>
        <family val="2"/>
      </rPr>
      <t> 8:30-11:35a.m., MTWRF</t>
    </r>
  </si>
  <si>
    <r>
      <t>Instructor:</t>
    </r>
    <r>
      <rPr>
        <sz val="12"/>
        <color rgb="FF666666"/>
        <rFont val="Arial"/>
        <family val="2"/>
      </rPr>
      <t> Michael Johnson</t>
    </r>
  </si>
  <si>
    <t>COLLEGE OF ARTS &amp; COMMUNICATION</t>
  </si>
  <si>
    <r>
      <t>Note:</t>
    </r>
    <r>
      <rPr>
        <sz val="12"/>
        <color rgb="FF666666"/>
        <rFont val="Arial"/>
        <family val="2"/>
      </rPr>
      <t> $100 distance education fee added to tuition</t>
    </r>
  </si>
  <si>
    <r>
      <t>Note:</t>
    </r>
    <r>
      <rPr>
        <sz val="12"/>
        <color rgb="FF666666"/>
        <rFont val="Arial"/>
        <family val="2"/>
      </rPr>
      <t> $50 distance education fee added to tuition</t>
    </r>
  </si>
  <si>
    <t>ART &amp; DESIGN</t>
  </si>
  <si>
    <t>ITBE 353, Section 22</t>
  </si>
  <si>
    <t>History and Social Aspects of Coaching</t>
  </si>
  <si>
    <t>Art Appreciation</t>
  </si>
  <si>
    <t>Visual Design for Digital Media</t>
  </si>
  <si>
    <t>COACHING 260, Section 1</t>
  </si>
  <si>
    <t>PEGNRL 192, Section 2</t>
  </si>
  <si>
    <t>ARTHIST 111, Section 1</t>
  </si>
  <si>
    <t>MAGD 210, Section 1</t>
  </si>
  <si>
    <r>
      <t>Instructor:</t>
    </r>
    <r>
      <rPr>
        <sz val="12"/>
        <color rgb="FF666666"/>
        <rFont val="Arial"/>
        <family val="2"/>
      </rPr>
      <t> John Smith</t>
    </r>
  </si>
  <si>
    <r>
      <t>Instructor:</t>
    </r>
    <r>
      <rPr>
        <sz val="12"/>
        <color rgb="FF666666"/>
        <rFont val="Arial"/>
        <family val="2"/>
      </rPr>
      <t> Dianne Jones</t>
    </r>
  </si>
  <si>
    <r>
      <t>Instructor:</t>
    </r>
    <r>
      <rPr>
        <sz val="12"/>
        <color rgb="FF666666"/>
        <rFont val="Arial"/>
        <family val="2"/>
      </rPr>
      <t> Jennifer Regan</t>
    </r>
  </si>
  <si>
    <r>
      <t>Instructor:</t>
    </r>
    <r>
      <rPr>
        <sz val="12"/>
        <color rgb="FF666666"/>
        <rFont val="Arial"/>
        <family val="2"/>
      </rPr>
      <t> Adrienne Foster</t>
    </r>
  </si>
  <si>
    <r>
      <t>Instructor:</t>
    </r>
    <r>
      <rPr>
        <sz val="12"/>
        <color rgb="FF666666"/>
        <rFont val="Arial"/>
        <family val="2"/>
      </rPr>
      <t> Chris Henige</t>
    </r>
  </si>
  <si>
    <t>MANAGEMENT</t>
  </si>
  <si>
    <t>Organizational Behavior</t>
  </si>
  <si>
    <t>Field Study in Coaching</t>
  </si>
  <si>
    <t>Health Promotion Management</t>
  </si>
  <si>
    <t>MANGEMNT 301, Section 1</t>
  </si>
  <si>
    <t>MANGEMNT 301, Section 22</t>
  </si>
  <si>
    <t>COACHING 492, Section 1</t>
  </si>
  <si>
    <t>PEPROF 480/680, Section 1</t>
  </si>
  <si>
    <t>COMMUNICATION</t>
  </si>
  <si>
    <t>2-3 Units</t>
  </si>
  <si>
    <t>Introduction to Human Communication</t>
  </si>
  <si>
    <r>
      <t>Instructor:</t>
    </r>
    <r>
      <rPr>
        <sz val="12"/>
        <color rgb="FF666666"/>
        <rFont val="Arial"/>
        <family val="2"/>
      </rPr>
      <t> Yezdi Godiwalla</t>
    </r>
  </si>
  <si>
    <r>
      <t>Instructor:</t>
    </r>
    <r>
      <rPr>
        <sz val="12"/>
        <color rgb="FF666666"/>
        <rFont val="Arial"/>
        <family val="2"/>
      </rPr>
      <t> Megan Matthews</t>
    </r>
  </si>
  <si>
    <r>
      <t>Instructor:</t>
    </r>
    <r>
      <rPr>
        <sz val="12"/>
        <color rgb="FF666666"/>
        <rFont val="Arial"/>
        <family val="2"/>
      </rPr>
      <t> Kelly Witte</t>
    </r>
  </si>
  <si>
    <r>
      <t>Instructor:</t>
    </r>
    <r>
      <rPr>
        <sz val="12"/>
        <color rgb="FF666666"/>
        <rFont val="Arial"/>
        <family val="2"/>
      </rPr>
      <t> Brandi Niemeier</t>
    </r>
  </si>
  <si>
    <t>COMM 110, Section 1</t>
  </si>
  <si>
    <t>COMM 110, Section 2</t>
  </si>
  <si>
    <r>
      <t>Location:</t>
    </r>
    <r>
      <rPr>
        <sz val="12"/>
        <color rgb="FF666666"/>
        <rFont val="Arial"/>
        <family val="2"/>
      </rPr>
      <t> Hyland 2305</t>
    </r>
  </si>
  <si>
    <r>
      <t>Location:</t>
    </r>
    <r>
      <rPr>
        <sz val="12"/>
        <color rgb="FF666666"/>
        <rFont val="Arial"/>
        <family val="2"/>
      </rPr>
      <t> Arranged</t>
    </r>
  </si>
  <si>
    <r>
      <t>Schedule:</t>
    </r>
    <r>
      <rPr>
        <sz val="12"/>
        <color rgb="FF666666"/>
        <rFont val="Arial"/>
        <family val="2"/>
      </rPr>
      <t> Hybrid course meets from 8:30-11:35 a.m. on January 2, 5, 6, 7, 8, 9, &amp; 12. Remaining contact hours online.</t>
    </r>
  </si>
  <si>
    <r>
      <t>Note:</t>
    </r>
    <r>
      <rPr>
        <sz val="12"/>
        <color rgb="FF666666"/>
        <rFont val="Arial"/>
        <family val="2"/>
      </rPr>
      <t> Department consent required</t>
    </r>
  </si>
  <si>
    <t>General Education (CC)</t>
  </si>
  <si>
    <t>Human Resource Management</t>
  </si>
  <si>
    <t>Research in Health and Physical Activity</t>
  </si>
  <si>
    <t>PreK-12 Sexuality Education</t>
  </si>
  <si>
    <r>
      <t>Instructor:</t>
    </r>
    <r>
      <rPr>
        <sz val="12"/>
        <color rgb="FF666666"/>
        <rFont val="Arial"/>
        <family val="2"/>
      </rPr>
      <t> Jodi Galvan</t>
    </r>
  </si>
  <si>
    <r>
      <t>Instructor:</t>
    </r>
    <r>
      <rPr>
        <sz val="12"/>
        <color rgb="FF666666"/>
        <rFont val="Arial"/>
        <family val="2"/>
      </rPr>
      <t> Brian Lucas</t>
    </r>
  </si>
  <si>
    <t>MANGEMNT 301, Section 23</t>
  </si>
  <si>
    <t>MANGEMNT 320, Section 22</t>
  </si>
  <si>
    <t>HEALTHED 471/671, Section 1</t>
  </si>
  <si>
    <t>HEALTHED 344/544, Section 1</t>
  </si>
  <si>
    <r>
      <t>Instructor:</t>
    </r>
    <r>
      <rPr>
        <sz val="12"/>
        <color rgb="FF666666"/>
        <rFont val="Arial"/>
        <family val="2"/>
      </rPr>
      <t> Aditya Simha</t>
    </r>
  </si>
  <si>
    <r>
      <t>Instructor:</t>
    </r>
    <r>
      <rPr>
        <sz val="12"/>
        <color rgb="FF666666"/>
        <rFont val="Arial"/>
        <family val="2"/>
      </rPr>
      <t> Young Chang</t>
    </r>
  </si>
  <si>
    <r>
      <t>Prereq:</t>
    </r>
    <r>
      <rPr>
        <sz val="12"/>
        <color rgb="FF666666"/>
        <rFont val="Arial"/>
        <family val="2"/>
      </rPr>
      <t> Junior/Senior Status or Consent of Instructor</t>
    </r>
  </si>
  <si>
    <r>
      <t>Instructor:</t>
    </r>
    <r>
      <rPr>
        <sz val="12"/>
        <color rgb="FF666666"/>
        <rFont val="Arial"/>
        <family val="2"/>
      </rPr>
      <t> Cristy Jefson</t>
    </r>
  </si>
  <si>
    <r>
      <t>Instructor:</t>
    </r>
    <r>
      <rPr>
        <sz val="12"/>
        <color rgb="FF666666"/>
        <rFont val="Arial"/>
        <family val="2"/>
      </rPr>
      <t> Ann Garvin</t>
    </r>
  </si>
  <si>
    <r>
      <t>Location:</t>
    </r>
    <r>
      <rPr>
        <sz val="12"/>
        <color rgb="FF666666"/>
        <rFont val="Arial"/>
        <family val="2"/>
      </rPr>
      <t> WC 184</t>
    </r>
  </si>
  <si>
    <t>COMM 110, Section 3</t>
  </si>
  <si>
    <t>COMM 110, section 4</t>
  </si>
  <si>
    <r>
      <t>Location:</t>
    </r>
    <r>
      <rPr>
        <sz val="12"/>
        <color rgb="FF666666"/>
        <rFont val="Arial"/>
        <family val="2"/>
      </rPr>
      <t> WC 185</t>
    </r>
  </si>
  <si>
    <r>
      <t>Schedule:</t>
    </r>
    <r>
      <rPr>
        <sz val="12"/>
        <color rgb="FF666666"/>
        <rFont val="Arial"/>
        <family val="2"/>
      </rPr>
      <t> Hybrid course meets on December 29, 30, and January 15, 8:30 a.m.-4:00 p.m. Remaining contact hours online.</t>
    </r>
  </si>
  <si>
    <t>Administrative Policy</t>
  </si>
  <si>
    <r>
      <t>Schedule:</t>
    </r>
    <r>
      <rPr>
        <sz val="12"/>
        <color rgb="FF666666"/>
        <rFont val="Arial"/>
        <family val="2"/>
      </rPr>
      <t> Hybrid course meets on December 29 + 30 and January 15 - 8:30 am - 4:00 pm. Remaining contact hours online.</t>
    </r>
  </si>
  <si>
    <t>MANGEMNT 489, Section 22</t>
  </si>
  <si>
    <t>Career and Professional Development Strategies</t>
  </si>
  <si>
    <t>Adventure and Sport Tourism</t>
  </si>
  <si>
    <r>
      <t>Instructor:</t>
    </r>
    <r>
      <rPr>
        <sz val="12"/>
        <color rgb="FF666666"/>
        <rFont val="Arial"/>
        <family val="2"/>
      </rPr>
      <t> James Disrude</t>
    </r>
  </si>
  <si>
    <r>
      <t>Instructor:</t>
    </r>
    <r>
      <rPr>
        <sz val="12"/>
        <color rgb="FF666666"/>
        <rFont val="Arial"/>
        <family val="2"/>
      </rPr>
      <t> Kate Ksobiech</t>
    </r>
  </si>
  <si>
    <t>COACHING 779, Section 1</t>
  </si>
  <si>
    <t>RECREATN 382, section 1</t>
  </si>
  <si>
    <r>
      <t>Location:</t>
    </r>
    <r>
      <rPr>
        <sz val="12"/>
        <color rgb="FF666666"/>
        <rFont val="Arial"/>
        <family val="2"/>
      </rPr>
      <t> Heide 113</t>
    </r>
  </si>
  <si>
    <r>
      <t>Location:</t>
    </r>
    <r>
      <rPr>
        <sz val="12"/>
        <color rgb="FF666666"/>
        <rFont val="Arial"/>
        <family val="2"/>
      </rPr>
      <t> Heide 311</t>
    </r>
  </si>
  <si>
    <r>
      <t>Prereq:</t>
    </r>
    <r>
      <rPr>
        <sz val="12"/>
        <color rgb="FF666666"/>
        <rFont val="Arial"/>
        <family val="2"/>
      </rPr>
      <t> Senior standing, completion of community service requirement, completion of MANGEMNT 301, ITSCM 306, FNBSLW 341, FNBSLW 344, ITBE 353, MARKETNG 311.</t>
    </r>
  </si>
  <si>
    <t>HEALTHED 779, Section 1</t>
  </si>
  <si>
    <r>
      <t>Schedule:</t>
    </r>
    <r>
      <rPr>
        <sz val="12"/>
        <color rgb="FF666666"/>
        <rFont val="Arial"/>
        <family val="2"/>
      </rPr>
      <t> 8:30-11:50 a.m., MTWRF</t>
    </r>
  </si>
  <si>
    <r>
      <t>Instructor:</t>
    </r>
    <r>
      <rPr>
        <sz val="12"/>
        <color rgb="FF666666"/>
        <rFont val="Arial"/>
        <family val="2"/>
      </rPr>
      <t> James Bronson and Praveen Parboteeah</t>
    </r>
  </si>
  <si>
    <t>PEPROF 779, Section 1</t>
  </si>
  <si>
    <r>
      <t>Prereq:</t>
    </r>
    <r>
      <rPr>
        <sz val="12"/>
        <color rgb="FF666666"/>
        <rFont val="Arial"/>
        <family val="2"/>
      </rPr>
      <t> Junior/Senior Status</t>
    </r>
  </si>
  <si>
    <t>Cross Cultural Communication</t>
  </si>
  <si>
    <t>RECREATN 779, Section 1</t>
  </si>
  <si>
    <r>
      <t>Instructor:</t>
    </r>
    <r>
      <rPr>
        <sz val="12"/>
        <color rgb="FF666666"/>
        <rFont val="Arial"/>
        <family val="2"/>
      </rPr>
      <t> Andrea Ednie</t>
    </r>
  </si>
  <si>
    <t>COMM 424/624, Section 1</t>
  </si>
  <si>
    <t>OCCUPATIONAL &amp; ENVIRONMENTAL SAFETY &amp; HEALTH</t>
  </si>
  <si>
    <r>
      <t>Instructor:</t>
    </r>
    <r>
      <rPr>
        <sz val="12"/>
        <color rgb="FF666666"/>
        <rFont val="Arial"/>
        <family val="2"/>
      </rPr>
      <t> Kristina Navarro</t>
    </r>
  </si>
  <si>
    <t>General Education (GD, GS)</t>
  </si>
  <si>
    <t>Personal and Public Safety</t>
  </si>
  <si>
    <t>Alcohol and Other Drugs</t>
  </si>
  <si>
    <t>Diversity Course</t>
  </si>
  <si>
    <t>Safety 201, Section 1</t>
  </si>
  <si>
    <t>Safety 255, Section 1</t>
  </si>
  <si>
    <r>
      <t>Prereq:</t>
    </r>
    <r>
      <rPr>
        <sz val="12"/>
        <color rgb="FF666666"/>
        <rFont val="Arial"/>
        <family val="2"/>
      </rPr>
      <t> COMM 110</t>
    </r>
  </si>
  <si>
    <t>SPECIAL EDUCATION</t>
  </si>
  <si>
    <r>
      <t>Instructor:</t>
    </r>
    <r>
      <rPr>
        <sz val="12"/>
        <color rgb="FF666666"/>
        <rFont val="Arial"/>
        <family val="2"/>
      </rPr>
      <t> Sue Wildermuth</t>
    </r>
  </si>
  <si>
    <t>General Education (GI)</t>
  </si>
  <si>
    <t>Introduction to Special Education</t>
  </si>
  <si>
    <r>
      <t>Instructor:</t>
    </r>
    <r>
      <rPr>
        <sz val="12"/>
        <color rgb="FF666666"/>
        <rFont val="Arial"/>
        <family val="2"/>
      </rPr>
      <t> Vay Rodman</t>
    </r>
  </si>
  <si>
    <r>
      <t>Instructor:</t>
    </r>
    <r>
      <rPr>
        <sz val="12"/>
        <color rgb="FF666666"/>
        <rFont val="Arial"/>
        <family val="2"/>
      </rPr>
      <t> David Vosburgh</t>
    </r>
  </si>
  <si>
    <t>SPECED 205, Section 1</t>
  </si>
  <si>
    <t>MUSIC</t>
  </si>
  <si>
    <r>
      <t>Instructor:</t>
    </r>
    <r>
      <rPr>
        <sz val="12"/>
        <color rgb="FF666666"/>
        <rFont val="Arial"/>
        <family val="2"/>
      </rPr>
      <t> Nomsa Gwalla - Ogisi</t>
    </r>
  </si>
  <si>
    <t>Survey of American Jazz</t>
  </si>
  <si>
    <t>COLLEGE OF EDUCATION &amp; PROFESSIONAL STUDIES</t>
  </si>
  <si>
    <t>MUSC 143, Section 1</t>
  </si>
  <si>
    <r>
      <t>Note:</t>
    </r>
    <r>
      <rPr>
        <sz val="12"/>
        <color rgb="FF666666"/>
        <rFont val="Arial"/>
        <family val="2"/>
      </rPr>
      <t> $150 distance education fee added to tuition.</t>
    </r>
  </si>
  <si>
    <t>COLLEGE OF LETTERS &amp; SCIENCES</t>
  </si>
  <si>
    <t>General Education (GA, GD)</t>
  </si>
  <si>
    <t>COMPUTER SCIENCE</t>
  </si>
  <si>
    <t>Computer Applications</t>
  </si>
  <si>
    <r>
      <t>Instructor:</t>
    </r>
    <r>
      <rPr>
        <sz val="12"/>
        <color rgb="FF666666"/>
        <rFont val="Arial"/>
        <family val="2"/>
      </rPr>
      <t> Michael Dugan</t>
    </r>
  </si>
  <si>
    <t>COMPSCI 162, Section 1</t>
  </si>
  <si>
    <t>General Education (GM)</t>
  </si>
  <si>
    <t>COLLEGE OF BUSINESS &amp; ECONOMICS</t>
  </si>
  <si>
    <r>
      <t>Prereq:</t>
    </r>
    <r>
      <rPr>
        <sz val="12"/>
        <color rgb="FF666666"/>
        <rFont val="Arial"/>
        <family val="2"/>
      </rPr>
      <t> MATH 141 or MATH 140 or waiver</t>
    </r>
  </si>
  <si>
    <r>
      <t>Instructor:</t>
    </r>
    <r>
      <rPr>
        <sz val="12"/>
        <color rgb="FF666666"/>
        <rFont val="Arial"/>
        <family val="2"/>
      </rPr>
      <t> Hien Nguyen</t>
    </r>
  </si>
  <si>
    <t>GEOGRAPHY &amp; GEOLOGY</t>
  </si>
  <si>
    <t>Dinosaurs</t>
  </si>
  <si>
    <t>GEOLGY 307, Section 1</t>
  </si>
  <si>
    <r>
      <t>Instructor:</t>
    </r>
    <r>
      <rPr>
        <sz val="12"/>
        <color rgb="FF666666"/>
        <rFont val="Arial"/>
        <family val="2"/>
      </rPr>
      <t> Rex Hanger</t>
    </r>
  </si>
  <si>
    <t>HISTORY</t>
  </si>
  <si>
    <t>Ancient History</t>
  </si>
  <si>
    <t>HISTRY 353, Section 1</t>
  </si>
  <si>
    <r>
      <t>Prereq:</t>
    </r>
    <r>
      <rPr>
        <sz val="12"/>
        <color rgb="FF666666"/>
        <rFont val="Arial"/>
        <family val="2"/>
      </rPr>
      <t> Sophomore Status or Consent of Instructor</t>
    </r>
  </si>
  <si>
    <r>
      <t>Instructor:</t>
    </r>
    <r>
      <rPr>
        <sz val="12"/>
        <color rgb="FF666666"/>
        <rFont val="Arial"/>
        <family val="2"/>
      </rPr>
      <t> Jennifer Thibodeaux</t>
    </r>
  </si>
  <si>
    <t>LANGUAGES AND LITERATURES</t>
  </si>
  <si>
    <t>Technical and Scientific Writing</t>
  </si>
  <si>
    <t>ENGLISH 372, section 1</t>
  </si>
  <si>
    <r>
      <t>Prereq:</t>
    </r>
    <r>
      <rPr>
        <sz val="12"/>
        <color rgb="FF666666"/>
        <rFont val="Arial"/>
        <family val="2"/>
      </rPr>
      <t> ENGLISH 101 and 102 or ENGLISH 105 or ENGLISH 161 and 162</t>
    </r>
  </si>
  <si>
    <r>
      <t>Instructor:</t>
    </r>
    <r>
      <rPr>
        <sz val="12"/>
        <color rgb="FF666666"/>
        <rFont val="Arial"/>
        <family val="2"/>
      </rPr>
      <t> John Carlberg</t>
    </r>
  </si>
  <si>
    <t>POLITICAL SCIENCE</t>
  </si>
  <si>
    <t>Ethnic Politics</t>
  </si>
  <si>
    <t>POLISCI 217, Section 1</t>
  </si>
  <si>
    <t>RACEETH 217, Section 1</t>
  </si>
  <si>
    <r>
      <t>Instructor:</t>
    </r>
    <r>
      <rPr>
        <sz val="12"/>
        <color rgb="FF666666"/>
        <rFont val="Arial"/>
        <family val="2"/>
      </rPr>
      <t> Larry Anderson</t>
    </r>
  </si>
  <si>
    <t>PSYCHOLOGY</t>
  </si>
  <si>
    <t>Introductory Psychology</t>
  </si>
  <si>
    <t>PSYCH 211, Section 1</t>
  </si>
  <si>
    <r>
      <t>Instructor:</t>
    </r>
    <r>
      <rPr>
        <sz val="12"/>
        <color rgb="FF666666"/>
        <rFont val="Arial"/>
        <family val="2"/>
      </rPr>
      <t> Kim Knesting-Lund</t>
    </r>
  </si>
  <si>
    <t>SOCIOLOGY, CRIMINOLOGY &amp; ANTHROPOLOGY</t>
  </si>
  <si>
    <t>Social Psychology</t>
  </si>
  <si>
    <t>SOCIOLGY 355, Section 1</t>
  </si>
  <si>
    <r>
      <t>Prereq:</t>
    </r>
    <r>
      <rPr>
        <sz val="12"/>
        <color rgb="FF666666"/>
        <rFont val="Arial"/>
        <family val="2"/>
      </rPr>
      <t> 3 credits of Sociology</t>
    </r>
  </si>
  <si>
    <r>
      <t>Instructor:</t>
    </r>
    <r>
      <rPr>
        <sz val="12"/>
        <color rgb="FF666666"/>
        <rFont val="Arial"/>
        <family val="2"/>
      </rPr>
      <t> Leda Nath</t>
    </r>
  </si>
  <si>
    <t>WOMEN'S STUDIES</t>
  </si>
  <si>
    <t>Women, Race and Ethnicity</t>
  </si>
  <si>
    <t>WOMENST 370, Section 1</t>
  </si>
  <si>
    <t>General Education (GD, GE)</t>
  </si>
  <si>
    <r>
      <t>Prereq:</t>
    </r>
    <r>
      <rPr>
        <sz val="12"/>
        <color rgb="FF666666"/>
        <rFont val="Arial"/>
        <family val="2"/>
      </rPr>
      <t> Junior standing or WOMENST 100</t>
    </r>
  </si>
  <si>
    <r>
      <t>Instructor:</t>
    </r>
    <r>
      <rPr>
        <sz val="12"/>
        <color rgb="FF666666"/>
        <rFont val="Arial"/>
        <family val="2"/>
      </rPr>
      <t> Lauren Smith</t>
    </r>
  </si>
  <si>
    <t>fnbslw 341</t>
  </si>
  <si>
    <t>Mangemnt 301 section 22</t>
  </si>
  <si>
    <t>Online</t>
  </si>
  <si>
    <t>Mangemnt 301 section 23</t>
  </si>
  <si>
    <t>Mangemnt 489 section 22</t>
  </si>
  <si>
    <t>Need Mangemnt 301, Itscm 306, FNBSLW 341, FNBSLW 344 ITBE 353 Marketing 311</t>
  </si>
  <si>
    <t>mtwrf 8:30-11:35</t>
  </si>
  <si>
    <t>Itscm 306</t>
  </si>
  <si>
    <t>online</t>
  </si>
  <si>
    <t>GENED 110, Section 1, Class 1002</t>
  </si>
  <si>
    <t>GENED 120, Section 1, Class 1003</t>
  </si>
  <si>
    <t>GENED 130, Section 1, Class 1004</t>
  </si>
  <si>
    <r>
      <t>Instructor:</t>
    </r>
    <r>
      <rPr>
        <sz val="12"/>
        <color rgb="FF666666"/>
        <rFont val="Arial"/>
        <family val="2"/>
      </rPr>
      <t> Holly Denning</t>
    </r>
  </si>
  <si>
    <t>GENED 140, Section 1, Class 1005</t>
  </si>
  <si>
    <r>
      <t>Instructor:</t>
    </r>
    <r>
      <rPr>
        <sz val="12"/>
        <color rgb="FF666666"/>
        <rFont val="Arial"/>
        <family val="2"/>
      </rPr>
      <t> Zohreh Ghavamshahidi</t>
    </r>
  </si>
  <si>
    <t>GENED 390, Section 1, Class 1008</t>
  </si>
  <si>
    <t>GENED 390, Section 2, Class 1009</t>
  </si>
  <si>
    <r>
      <t>Instructor:</t>
    </r>
    <r>
      <rPr>
        <sz val="12"/>
        <color rgb="FF666666"/>
        <rFont val="Arial"/>
        <family val="2"/>
      </rPr>
      <t> Michael Bennett</t>
    </r>
  </si>
  <si>
    <t>Art &amp; Design</t>
  </si>
  <si>
    <t>MAGD 220, Section 1, Class 1010</t>
  </si>
  <si>
    <r>
      <t>Instructor:</t>
    </r>
    <r>
      <rPr>
        <sz val="12"/>
        <color rgb="FF666666"/>
        <rFont val="Arial"/>
        <family val="2"/>
      </rPr>
      <t> Renee Melton</t>
    </r>
  </si>
  <si>
    <t>COMM 110, Section 1, Class 1011</t>
  </si>
  <si>
    <t>COMM 110, Section 2, Class 1012</t>
  </si>
  <si>
    <t>COMM 110, Section 3, Class 1013</t>
  </si>
  <si>
    <r>
      <t>Instructor:</t>
    </r>
    <r>
      <rPr>
        <sz val="12"/>
        <color rgb="FF666666"/>
        <rFont val="Arial"/>
        <family val="2"/>
      </rPr>
      <t> Jim Disrude</t>
    </r>
  </si>
  <si>
    <r>
      <t>Location:</t>
    </r>
    <r>
      <rPr>
        <sz val="12"/>
        <color rgb="FF666666"/>
        <rFont val="Arial"/>
        <family val="2"/>
      </rPr>
      <t> Heide 309</t>
    </r>
  </si>
  <si>
    <t>Undergraduate Class 1014, Graduate Class 1015</t>
  </si>
  <si>
    <t>General Education (GD, GS), Diversity Course</t>
  </si>
  <si>
    <t>MUSC 143, Section 1, Class 1016</t>
  </si>
  <si>
    <t>For Winterim only: All non-business undergraduate and graduate students who have at least a 2.0 GPA will be eligible to enroll in College of Business and Economics undergraduate courses if all requisites are completed. Undergraduate students must have completed 24 units to schedule lower division classes and 60 units to schedule upper division classes. Students who do not meet course requirements will be notified and asked to call the Assistant Dean of the College of Business and Economics at (262) 472-4900.</t>
  </si>
  <si>
    <t>Pre-business and business majors must meet all College of Business and Economics requirements as follows: To enroll in a lower division business course, a business major must have 24 units completed and a 2.50 cumulative combined grade point average. To enroll in a 300- or 400-level business course, a business major must first be admitted to the College of Business and Economics and maintain a 2.50 cumulative combined grade point average. The College admission policies can be found in the University Bulletin, on-line, or by calling the Assistant Dean’s office.</t>
  </si>
  <si>
    <t>Enrollment preference in all business courses will be given to the following officially declared majors and minors: All BBA Majors; Management Computer Systems Majors; Business Education Majors; Public Policy &amp; Administration Majors; Occupational Safety Majors; Public Administration Minors; Professional Business Minors; Individually Designed Majors &amp; Minors; Arts Management Minors; Arts Merchandising Minors.</t>
  </si>
  <si>
    <t>ACCOUNT 249, Section 22, Class 1017</t>
  </si>
  <si>
    <r>
      <t>Instructor:</t>
    </r>
    <r>
      <rPr>
        <sz val="12"/>
        <color rgb="FF666666"/>
        <rFont val="Arial"/>
        <family val="2"/>
      </rPr>
      <t> Linda Amann</t>
    </r>
  </si>
  <si>
    <t>ACCOUNT 748, Section 1, Class 1018</t>
  </si>
  <si>
    <r>
      <t>Schedule:</t>
    </r>
    <r>
      <rPr>
        <sz val="12"/>
        <color rgb="FF666666"/>
        <rFont val="Arial"/>
        <family val="2"/>
      </rPr>
      <t> 1:30-4:50 p.m., MTWRF</t>
    </r>
  </si>
  <si>
    <t>Introduction to Information Systems</t>
  </si>
  <si>
    <t>ITSCM 280, Section 1, Class 1019</t>
  </si>
  <si>
    <t>MANGEMNT 301, Section 1, Class 1020</t>
  </si>
  <si>
    <t>MANGEMNT 301, Section 22, 1021</t>
  </si>
  <si>
    <t>MANGEMNT 301, Section 23, Class 1022</t>
  </si>
  <si>
    <r>
      <t>Instructor:</t>
    </r>
    <r>
      <rPr>
        <sz val="12"/>
        <color rgb="FF666666"/>
        <rFont val="Arial"/>
        <family val="2"/>
      </rPr>
      <t> Jim Schnaedter</t>
    </r>
  </si>
  <si>
    <t>MANGEMNT 301, Section 24, Class 1023</t>
  </si>
  <si>
    <t>MANGEMNT 489, Section 1, Class 1067</t>
  </si>
  <si>
    <r>
      <t>Prereq: </t>
    </r>
    <r>
      <rPr>
        <sz val="12"/>
        <color rgb="FF666666"/>
        <rFont val="Arial"/>
        <family val="2"/>
      </rPr>
      <t>Senior standing, completion of community service requirement, completion of MANGEMNT 301, ITSCM 306, FNBSLW 344, ITBE 353, MARKETNG 311.</t>
    </r>
  </si>
  <si>
    <r>
      <t>Instructor:</t>
    </r>
    <r>
      <rPr>
        <sz val="12"/>
        <color rgb="FF666666"/>
        <rFont val="Arial"/>
        <family val="2"/>
      </rPr>
      <t> Jeff Vanevenhoven</t>
    </r>
  </si>
  <si>
    <r>
      <t>Location:</t>
    </r>
    <r>
      <rPr>
        <sz val="12"/>
        <color rgb="FF666666"/>
        <rFont val="Arial"/>
        <family val="2"/>
      </rPr>
      <t> Hyland 2300</t>
    </r>
  </si>
  <si>
    <r>
      <t>Schedule:</t>
    </r>
    <r>
      <rPr>
        <sz val="12"/>
        <color rgb="FF666666"/>
        <rFont val="Arial"/>
        <family val="2"/>
      </rPr>
      <t> 9:00 a.m.-12:00 p.m. on December 29 &amp; 30; January 4, 5, 6, 14 &amp; 15.</t>
    </r>
  </si>
  <si>
    <r>
      <t>Instructor:</t>
    </r>
    <r>
      <rPr>
        <sz val="12"/>
        <color rgb="FF666666"/>
        <rFont val="Arial"/>
        <family val="2"/>
      </rPr>
      <t> James Bronson &amp; Praveen Parboteeah</t>
    </r>
  </si>
  <si>
    <t>MARKETING</t>
  </si>
  <si>
    <t>Principles of Marketing</t>
  </si>
  <si>
    <t>MARKETING 311, Section 22, Class 1026</t>
  </si>
  <si>
    <r>
      <t>Instructor:</t>
    </r>
    <r>
      <rPr>
        <sz val="12"/>
        <color rgb="FF666666"/>
        <rFont val="Arial"/>
        <family val="2"/>
      </rPr>
      <t> Andrew Dahl</t>
    </r>
  </si>
  <si>
    <t>SAFETY 201, Section 11, Class 1027</t>
  </si>
  <si>
    <t>SAFETY 255, Section 11, Class 1028</t>
  </si>
  <si>
    <t>READING 360, Section 1, Class 1029</t>
  </si>
  <si>
    <r>
      <t>Prereq: </t>
    </r>
    <r>
      <rPr>
        <sz val="12"/>
        <color rgb="FF666666"/>
        <rFont val="Arial"/>
        <family val="2"/>
      </rPr>
      <t>Professional Education admission</t>
    </r>
  </si>
  <si>
    <t>COACHING 240, Section 1, Class 1030</t>
  </si>
  <si>
    <t>History and Social Aspects of Athletics</t>
  </si>
  <si>
    <t>COACHING 260, Section 1, Class 1031</t>
  </si>
  <si>
    <t>COACHING 492, Section 1, Class 1032</t>
  </si>
  <si>
    <t>COACHING 779, section 1, class 1033</t>
  </si>
  <si>
    <t>HEALTHED 779, section 1, class 1034</t>
  </si>
  <si>
    <t>PEPROF 779, section 1, class 1035</t>
  </si>
  <si>
    <t>RECREATN 779, section 1, class 1036</t>
  </si>
  <si>
    <t>Elementary Health Education</t>
  </si>
  <si>
    <t>HEALTHED 382, Section 1, Class 1039</t>
  </si>
  <si>
    <r>
      <t>Location:</t>
    </r>
    <r>
      <rPr>
        <sz val="12"/>
        <color rgb="FF666666"/>
        <rFont val="Arial"/>
        <family val="2"/>
      </rPr>
      <t> Williams Center 183A</t>
    </r>
  </si>
  <si>
    <r>
      <t>Schedule:</t>
    </r>
    <r>
      <rPr>
        <sz val="12"/>
        <color rgb="FF666666"/>
        <rFont val="Arial"/>
        <family val="2"/>
      </rPr>
      <t> 8:30-11:50 a.m. on December 29; January 4, 11 &amp; 14</t>
    </r>
  </si>
  <si>
    <t>Research in Health</t>
  </si>
  <si>
    <t>Undergraduate Class 1037; Graduate Class 1038</t>
  </si>
  <si>
    <r>
      <t>Prereq: </t>
    </r>
    <r>
      <rPr>
        <sz val="12"/>
        <color rgb="FF666666"/>
        <rFont val="Arial"/>
        <family val="2"/>
      </rPr>
      <t>Junior/Senior status or consent of instructor</t>
    </r>
  </si>
  <si>
    <r>
      <t>Location:</t>
    </r>
    <r>
      <rPr>
        <sz val="12"/>
        <color rgb="FF666666"/>
        <rFont val="Arial"/>
        <family val="2"/>
      </rPr>
      <t> Williams Center 185</t>
    </r>
  </si>
  <si>
    <r>
      <t>Schedule:</t>
    </r>
    <r>
      <rPr>
        <sz val="12"/>
        <color rgb="FF666666"/>
        <rFont val="Arial"/>
        <family val="2"/>
      </rPr>
      <t> 8:30 a.m.-3:30 p.m. on December 29 &amp; 30; January 15</t>
    </r>
  </si>
  <si>
    <t>PEGNRL 192, Section 3, Class 1040</t>
  </si>
  <si>
    <t>PEGNRL 192, Section 2, Class 1041</t>
  </si>
  <si>
    <t>PEGNRL 192, Section 3, Class 1042</t>
  </si>
  <si>
    <t>Undergraduate Class 1043; Graduate Class 1044</t>
  </si>
  <si>
    <t>Introduction to Sport Management</t>
  </si>
  <si>
    <t>RECREATN 233, Section 1, Class 1045</t>
  </si>
  <si>
    <r>
      <t>Instructor:</t>
    </r>
    <r>
      <rPr>
        <sz val="12"/>
        <color rgb="FF666666"/>
        <rFont val="Arial"/>
        <family val="2"/>
      </rPr>
      <t> Joe Carollo</t>
    </r>
  </si>
  <si>
    <r>
      <t>Location:</t>
    </r>
    <r>
      <rPr>
        <sz val="12"/>
        <color rgb="FF666666"/>
        <rFont val="Arial"/>
        <family val="2"/>
      </rPr>
      <t> 9:00 a.m.-12:00 p.m. on December 29; January 4, 5, 6, 7, 11, 12 &amp; 14</t>
    </r>
  </si>
  <si>
    <r>
      <t>Schedule:</t>
    </r>
    <r>
      <rPr>
        <sz val="12"/>
        <color rgb="FF666666"/>
        <rFont val="Arial"/>
        <family val="2"/>
      </rPr>
      <t> Williams Center 184</t>
    </r>
  </si>
  <si>
    <t>SPECED 205, Section 1, Class 1063</t>
  </si>
  <si>
    <t>BIOLOGY</t>
  </si>
  <si>
    <t>Winter Ecology &amp; Natural History of Yellowstone National Park</t>
  </si>
  <si>
    <t>BIOLOGY 350, Section 1, Class 1061</t>
  </si>
  <si>
    <r>
      <t>Instructor:</t>
    </r>
    <r>
      <rPr>
        <sz val="12"/>
        <color rgb="FF666666"/>
        <rFont val="Arial"/>
        <family val="2"/>
      </rPr>
      <t> George Clokey</t>
    </r>
  </si>
  <si>
    <r>
      <t>Note:</t>
    </r>
    <r>
      <rPr>
        <sz val="12"/>
        <color rgb="FF666666"/>
        <rFont val="Arial"/>
        <family val="2"/>
      </rPr>
      <t> This is a 12-day faculty-led travel study course. Travel is scheduled to South Dakota, Montana, and Yellowstone National Park for Saturday, January 2 through Friday, January 15, 2016. Contact Kari Borne (</t>
    </r>
    <r>
      <rPr>
        <b/>
        <sz val="12"/>
        <color rgb="FF422D5C"/>
        <rFont val="Arial"/>
        <family val="2"/>
      </rPr>
      <t>bornek@uww.edu</t>
    </r>
    <r>
      <rPr>
        <sz val="12"/>
        <color rgb="FF666666"/>
        <rFont val="Arial"/>
        <family val="2"/>
      </rPr>
      <t> or 262-472-1003) for an application or Professor Clokey (</t>
    </r>
    <r>
      <rPr>
        <b/>
        <sz val="12"/>
        <color rgb="FF422D5C"/>
        <rFont val="Arial"/>
        <family val="2"/>
      </rPr>
      <t>clokeyg@uww.edu</t>
    </r>
    <r>
      <rPr>
        <sz val="12"/>
        <color rgb="FF666666"/>
        <rFont val="Arial"/>
        <family val="2"/>
      </rPr>
      <t> or 262-472-5140) for academic requirements. Travel study registration is not available via WINS registration. Travel study participants may not add or drop a travel study course via WINS once it has been added to their academic schedule. Go to </t>
    </r>
    <r>
      <rPr>
        <b/>
        <sz val="12"/>
        <color rgb="FF422D5C"/>
        <rFont val="Arial"/>
        <family val="2"/>
      </rPr>
      <t>http://www.uww.edu/ce/travel</t>
    </r>
    <r>
      <rPr>
        <sz val="12"/>
        <color rgb="FF666666"/>
        <rFont val="Arial"/>
        <family val="2"/>
      </rPr>
      <t> for more information of due dates, itinerary, and course fees.</t>
    </r>
  </si>
  <si>
    <t>CHEMISTRY</t>
  </si>
  <si>
    <t>Science and Technology in Society</t>
  </si>
  <si>
    <t>CHEM 150, Section 1, Class 1046</t>
  </si>
  <si>
    <r>
      <t>Prereq:</t>
    </r>
    <r>
      <rPr>
        <sz val="12"/>
        <color rgb="FF666666"/>
        <rFont val="Arial"/>
        <family val="2"/>
      </rPr>
      <t> MATH 141 or 140 Coreq</t>
    </r>
  </si>
  <si>
    <r>
      <t>Instructor:</t>
    </r>
    <r>
      <rPr>
        <sz val="12"/>
        <color rgb="FF666666"/>
        <rFont val="Arial"/>
        <family val="2"/>
      </rPr>
      <t> Jessica Bonjour</t>
    </r>
  </si>
  <si>
    <t>COMPSCI 162, Section 1, Class 1047</t>
  </si>
  <si>
    <r>
      <t>Instructor:</t>
    </r>
    <r>
      <rPr>
        <sz val="12"/>
        <color rgb="FF666666"/>
        <rFont val="Arial"/>
        <family val="2"/>
      </rPr>
      <t> Lopamudra Mukherjee</t>
    </r>
  </si>
  <si>
    <t>GEOLGY 307, Section 1, Class 1048</t>
  </si>
  <si>
    <t>Contemporary Chicano Literature</t>
  </si>
  <si>
    <t>CHICANO 201, Section 1, Class 1049</t>
  </si>
  <si>
    <t>ENGLISH 201, Section 1, Class 1050</t>
  </si>
  <si>
    <t>Diversity course</t>
  </si>
  <si>
    <r>
      <t>Instructor:</t>
    </r>
    <r>
      <rPr>
        <sz val="12"/>
        <color rgb="FF666666"/>
        <rFont val="Arial"/>
        <family val="2"/>
      </rPr>
      <t> Pilar Melero</t>
    </r>
  </si>
  <si>
    <t>Technical Writing</t>
  </si>
  <si>
    <t>ENGLISH 372/572, Section 1</t>
  </si>
  <si>
    <t>Undergraduate Class 1052; Graduate Class 1051</t>
  </si>
  <si>
    <r>
      <t>Prereq:</t>
    </r>
    <r>
      <rPr>
        <sz val="12"/>
        <color rgb="FF666666"/>
        <rFont val="Arial"/>
        <family val="2"/>
      </rPr>
      <t> ENGLISH 101 and ENGLISH 102 or ENGLISH 161 and ENGLISH 162 or ENGLISH 105</t>
    </r>
  </si>
  <si>
    <t>PHILOSOPHY AND RELIGIOUS STUDIES</t>
  </si>
  <si>
    <t>Religious Ethics</t>
  </si>
  <si>
    <t>RELIGST 302, Section 1, Class 1053</t>
  </si>
  <si>
    <r>
      <t>Prereq:</t>
    </r>
    <r>
      <rPr>
        <sz val="12"/>
        <color rgb="FF666666"/>
        <rFont val="Arial"/>
        <family val="2"/>
      </rPr>
      <t> Sophomore standing or consent of instructor</t>
    </r>
  </si>
  <si>
    <r>
      <t>Instructor:</t>
    </r>
    <r>
      <rPr>
        <sz val="12"/>
        <color rgb="FF666666"/>
        <rFont val="Arial"/>
        <family val="2"/>
      </rPr>
      <t> David Reinhart</t>
    </r>
  </si>
  <si>
    <t>POLISCI 217, Section 1, Class 1055</t>
  </si>
  <si>
    <t>RACEETH 217, Section 1, Class 1054</t>
  </si>
  <si>
    <t>PSYCH 211, Section 1, Class 1056</t>
  </si>
  <si>
    <r>
      <t>Instructor:</t>
    </r>
    <r>
      <rPr>
        <sz val="12"/>
        <color rgb="FF666666"/>
        <rFont val="Arial"/>
        <family val="2"/>
      </rPr>
      <t> Kimberly Knesting-Lund</t>
    </r>
  </si>
  <si>
    <t>Psychology of Childhood</t>
  </si>
  <si>
    <t>PSYCH 331, Section 1, Class 1057</t>
  </si>
  <si>
    <t>3 units</t>
  </si>
  <si>
    <r>
      <t>Prereq: </t>
    </r>
    <r>
      <rPr>
        <sz val="12"/>
        <color rgb="FF666666"/>
        <rFont val="Arial"/>
        <family val="2"/>
      </rPr>
      <t>PSYCH 211</t>
    </r>
  </si>
  <si>
    <r>
      <t>Instructor: </t>
    </r>
    <r>
      <rPr>
        <sz val="12"/>
        <color rgb="FF666666"/>
        <rFont val="Arial"/>
        <family val="2"/>
      </rPr>
      <t>Sandra Street</t>
    </r>
  </si>
  <si>
    <r>
      <t>Location: </t>
    </r>
    <r>
      <rPr>
        <sz val="12"/>
        <color rgb="FF666666"/>
        <rFont val="Arial"/>
        <family val="2"/>
      </rPr>
      <t>Online</t>
    </r>
  </si>
  <si>
    <r>
      <t>Note: </t>
    </r>
    <r>
      <rPr>
        <sz val="12"/>
        <color rgb="FF666666"/>
        <rFont val="Arial"/>
        <family val="2"/>
      </rPr>
      <t>$150 distance fee in addition to tuition</t>
    </r>
  </si>
  <si>
    <t>Special Studies: Crisis and Conflict</t>
  </si>
  <si>
    <t>CRIMJUS 496, Section 1, Class 1058</t>
  </si>
  <si>
    <r>
      <t>Instructor:</t>
    </r>
    <r>
      <rPr>
        <sz val="12"/>
        <color rgb="FF666666"/>
        <rFont val="Arial"/>
        <family val="2"/>
      </rPr>
      <t> Patrick O’Brien</t>
    </r>
  </si>
  <si>
    <t>SOCIOLGY 355, section 1, class 1059</t>
  </si>
  <si>
    <r>
      <t>Prereq:</t>
    </r>
    <r>
      <rPr>
        <sz val="12"/>
        <color rgb="FF666666"/>
        <rFont val="Arial"/>
        <family val="2"/>
      </rPr>
      <t> 3 units of Sociology</t>
    </r>
  </si>
  <si>
    <r>
      <t>Instructor: </t>
    </r>
    <r>
      <rPr>
        <sz val="12"/>
        <color rgb="FF666666"/>
        <rFont val="Arial"/>
        <family val="2"/>
      </rPr>
      <t>Leda Nath</t>
    </r>
  </si>
  <si>
    <t>WOMENST 370, Section 1, Class 1060</t>
  </si>
  <si>
    <t>2016 Schedule Of Classes</t>
  </si>
  <si>
    <r>
      <t>Instructor:</t>
    </r>
    <r>
      <rPr>
        <strike/>
        <sz val="12"/>
        <color rgb="FF666666"/>
        <rFont val="Arial"/>
        <family val="2"/>
      </rPr>
      <t> TBD</t>
    </r>
  </si>
  <si>
    <r>
      <t>Location:</t>
    </r>
    <r>
      <rPr>
        <strike/>
        <sz val="12"/>
        <color rgb="FF666666"/>
        <rFont val="Arial"/>
        <family val="2"/>
      </rPr>
      <t> TBD</t>
    </r>
  </si>
  <si>
    <r>
      <t>Schedule:</t>
    </r>
    <r>
      <rPr>
        <strike/>
        <sz val="12"/>
        <color rgb="FF666666"/>
        <rFont val="Arial"/>
        <family val="2"/>
      </rPr>
      <t> TBD</t>
    </r>
  </si>
  <si>
    <r>
      <t>Instructor:</t>
    </r>
    <r>
      <rPr>
        <strike/>
        <sz val="12"/>
        <color rgb="FF666666"/>
        <rFont val="Arial"/>
        <family val="2"/>
      </rPr>
      <t>Yezdi Godiwalla</t>
    </r>
  </si>
  <si>
    <r>
      <t>Location:</t>
    </r>
    <r>
      <rPr>
        <strike/>
        <sz val="12"/>
        <color rgb="FF666666"/>
        <rFont val="Arial"/>
        <family val="2"/>
      </rPr>
      <t> Hyland 2200</t>
    </r>
  </si>
  <si>
    <r>
      <t>Schedule:</t>
    </r>
    <r>
      <rPr>
        <strike/>
        <sz val="12"/>
        <color rgb="FF666666"/>
        <rFont val="Arial"/>
        <family val="2"/>
      </rPr>
      <t> 8:30-11:50am on December 29 &amp; 30; January 4, 5, 6 &amp; 7.</t>
    </r>
  </si>
  <si>
    <t>Winterim 2017? So make sure I get all the prereqs</t>
  </si>
  <si>
    <t>Mangemnt 301 section 24</t>
  </si>
  <si>
    <t>Megan Matthews</t>
  </si>
  <si>
    <t>2018-2019</t>
  </si>
  <si>
    <t>Fall 2018</t>
  </si>
  <si>
    <t>Winterim 2019</t>
  </si>
  <si>
    <t>Spring 2019</t>
  </si>
  <si>
    <t>Summer 2019</t>
  </si>
  <si>
    <t>Summer 2020</t>
  </si>
  <si>
    <t>Spring 2020</t>
  </si>
  <si>
    <t>Summer 2021</t>
  </si>
  <si>
    <t>Spring 2021</t>
  </si>
  <si>
    <t>Winterim 2021</t>
  </si>
  <si>
    <t>Winterim 2020</t>
  </si>
  <si>
    <t>Fall 2019</t>
  </si>
  <si>
    <t>Fall 2020</t>
  </si>
  <si>
    <t>2019-2020</t>
  </si>
  <si>
    <t>2020-2021</t>
  </si>
  <si>
    <t>Fall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</si>
</sst>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48">
    <font>
      <sz val="11"/>
      <color theme="1"/>
      <name val="Calibri"/>
      <family val="2"/>
      <scheme val="minor"/>
    </font>
    <font>
      <b/>
      <sz val="11"/>
      <color theme="1"/>
      <name val="Calibri"/>
      <family val="2"/>
      <scheme val="minor"/>
    </font>
    <font>
      <strike/>
      <sz val="11"/>
      <color theme="1"/>
      <name val="Calibri"/>
      <family val="2"/>
      <scheme val="minor"/>
    </font>
    <font>
      <b/>
      <sz val="16"/>
      <color theme="1"/>
      <name val="Calibri"/>
      <family val="2"/>
      <scheme val="minor"/>
    </font>
    <font>
      <sz val="11"/>
      <color theme="0"/>
      <name val="Calibri"/>
      <family val="2"/>
      <scheme val="minor"/>
    </font>
    <font>
      <b/>
      <u/>
      <sz val="16"/>
      <color theme="0"/>
      <name val="Calibri"/>
      <family val="2"/>
      <scheme val="minor"/>
    </font>
    <font>
      <b/>
      <u/>
      <sz val="16"/>
      <color theme="1"/>
      <name val="Calibri"/>
      <family val="2"/>
      <scheme val="minor"/>
    </font>
    <font>
      <b/>
      <u/>
      <sz val="16"/>
      <color rgb="FFFF0000"/>
      <name val="Calibri"/>
      <family val="2"/>
      <scheme val="minor"/>
    </font>
    <font>
      <b/>
      <u/>
      <sz val="18"/>
      <color theme="0"/>
      <name val="Calibri"/>
      <family val="2"/>
      <scheme val="minor"/>
    </font>
    <font>
      <b/>
      <sz val="12"/>
      <color theme="0"/>
      <name val="Calibri"/>
      <family val="2"/>
      <scheme val="minor"/>
    </font>
    <font>
      <b/>
      <sz val="12"/>
      <color theme="1"/>
      <name val="Calibri"/>
      <family val="2"/>
      <scheme val="minor"/>
    </font>
    <font>
      <b/>
      <sz val="1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4"/>
      <color rgb="FF000000"/>
      <name val="Inherit"/>
    </font>
    <font>
      <sz val="9"/>
      <color rgb="FF000000"/>
      <name val="Inherit"/>
    </font>
    <font>
      <b/>
      <sz val="15"/>
      <color rgb="FF000000"/>
      <name val="Arial"/>
      <family val="2"/>
    </font>
    <font>
      <sz val="18"/>
      <color theme="3"/>
      <name val="Calibri Light"/>
      <family val="2"/>
      <scheme val="major"/>
    </font>
    <font>
      <b/>
      <sz val="11"/>
      <color rgb="FFFA7D00"/>
      <name val="Calibri"/>
      <family val="2"/>
      <scheme val="minor"/>
    </font>
    <font>
      <i/>
      <sz val="11"/>
      <color rgb="FF7F7F7F"/>
      <name val="Calibri"/>
      <family val="2"/>
      <scheme val="minor"/>
    </font>
    <font>
      <b/>
      <u/>
      <sz val="18"/>
      <color theme="3"/>
      <name val="Calibri Light"/>
      <family val="2"/>
      <scheme val="major"/>
    </font>
    <font>
      <u/>
      <sz val="11"/>
      <color theme="10"/>
      <name val="Calibri"/>
      <family val="2"/>
      <scheme val="minor"/>
    </font>
    <font>
      <sz val="11"/>
      <color theme="4" tint="-0.499984740745262"/>
      <name val="Calibri"/>
      <family val="2"/>
      <scheme val="minor"/>
    </font>
    <font>
      <u/>
      <sz val="24"/>
      <color theme="3"/>
      <name val="Calibri Light"/>
      <family val="2"/>
      <scheme val="major"/>
    </font>
    <font>
      <b/>
      <sz val="22"/>
      <color theme="1"/>
      <name val="Calibri"/>
      <family val="2"/>
      <scheme val="minor"/>
    </font>
    <font>
      <b/>
      <u/>
      <sz val="24"/>
      <color theme="1"/>
      <name val="Calibri"/>
      <family val="2"/>
      <scheme val="minor"/>
    </font>
    <font>
      <u/>
      <sz val="14"/>
      <color theme="10"/>
      <name val="Calibri"/>
      <family val="2"/>
      <scheme val="minor"/>
    </font>
    <font>
      <b/>
      <sz val="14"/>
      <color theme="1"/>
      <name val="Calibri"/>
      <family val="2"/>
      <scheme val="minor"/>
    </font>
    <font>
      <b/>
      <sz val="16"/>
      <color rgb="FFFA7D00"/>
      <name val="Calibri"/>
      <family val="2"/>
      <scheme val="minor"/>
    </font>
    <font>
      <u/>
      <sz val="36"/>
      <color theme="3"/>
      <name val="Calibri Light"/>
      <family val="2"/>
      <scheme val="major"/>
    </font>
    <font>
      <b/>
      <u/>
      <sz val="14"/>
      <color theme="1"/>
      <name val="Calibri"/>
      <family val="2"/>
      <scheme val="minor"/>
    </font>
    <font>
      <i/>
      <sz val="11"/>
      <color theme="1"/>
      <name val="Calibri"/>
      <family val="2"/>
      <scheme val="minor"/>
    </font>
    <font>
      <sz val="11"/>
      <color rgb="FFFF0000"/>
      <name val="Calibri"/>
      <family val="2"/>
      <scheme val="minor"/>
    </font>
    <font>
      <b/>
      <sz val="11"/>
      <color theme="1"/>
      <name val="Calibri"/>
      <scheme val="minor"/>
    </font>
    <font>
      <sz val="11"/>
      <color theme="1"/>
      <name val="Calibri"/>
      <scheme val="minor"/>
    </font>
    <font>
      <sz val="11"/>
      <color rgb="FF000000"/>
      <name val="Calibri"/>
      <family val="2"/>
      <scheme val="minor"/>
    </font>
    <font>
      <sz val="27"/>
      <color rgb="FF333333"/>
      <name val="Arial"/>
      <family val="2"/>
    </font>
    <font>
      <b/>
      <sz val="18"/>
      <color rgb="FFFFFFFF"/>
      <name val="Arial"/>
      <family val="2"/>
    </font>
    <font>
      <sz val="12"/>
      <color rgb="FF666666"/>
      <name val="Arial"/>
      <family val="2"/>
    </font>
    <font>
      <b/>
      <sz val="12"/>
      <color rgb="FF666666"/>
      <name val="Arial"/>
      <family val="2"/>
    </font>
    <font>
      <sz val="12"/>
      <color rgb="FF000000"/>
      <name val="Inherit"/>
    </font>
    <font>
      <b/>
      <sz val="18"/>
      <color rgb="FFFFFFFF"/>
      <name val="PT Sans"/>
      <family val="2"/>
    </font>
    <font>
      <b/>
      <sz val="12"/>
      <color rgb="FF422D5C"/>
      <name val="Arial"/>
      <family val="2"/>
    </font>
    <font>
      <sz val="27"/>
      <color rgb="FF333333"/>
      <name val="Arial"/>
      <family val="2"/>
    </font>
    <font>
      <b/>
      <strike/>
      <sz val="12"/>
      <color rgb="FF666666"/>
      <name val="Arial"/>
      <family val="2"/>
    </font>
    <font>
      <strike/>
      <sz val="12"/>
      <color rgb="FF666666"/>
      <name val="Arial"/>
      <family val="2"/>
    </font>
  </fonts>
  <fills count="17">
    <fill>
      <patternFill patternType="none"/>
    </fill>
    <fill>
      <patternFill patternType="gray125"/>
    </fill>
    <fill>
      <patternFill patternType="solid">
        <fgColor theme="4"/>
      </patternFill>
    </fill>
    <fill>
      <patternFill patternType="solid">
        <fgColor theme="5"/>
      </patternFill>
    </fill>
    <fill>
      <patternFill patternType="solid">
        <fgColor theme="7"/>
      </patternFill>
    </fill>
    <fill>
      <patternFill patternType="solid">
        <fgColor theme="7" tint="0.39997558519241921"/>
        <bgColor indexed="65"/>
      </patternFill>
    </fill>
    <fill>
      <patternFill patternType="solid">
        <fgColor theme="9"/>
      </patternFill>
    </fill>
    <fill>
      <patternFill patternType="solid">
        <fgColor rgb="FFFFFFFF"/>
        <bgColor indexed="64"/>
      </patternFill>
    </fill>
    <fill>
      <patternFill patternType="solid">
        <fgColor rgb="FFF2F2F2"/>
      </patternFill>
    </fill>
    <fill>
      <patternFill patternType="solid">
        <fgColor theme="9" tint="0.39997558519241921"/>
        <bgColor indexed="65"/>
      </patternFill>
    </fill>
    <fill>
      <patternFill patternType="solid">
        <fgColor theme="0"/>
        <bgColor indexed="64"/>
      </patternFill>
    </fill>
    <fill>
      <patternFill patternType="solid">
        <fgColor theme="1" tint="0.249977111117893"/>
        <bgColor indexed="64"/>
      </patternFill>
    </fill>
    <fill>
      <patternFill patternType="solid">
        <fgColor theme="0"/>
        <bgColor theme="0" tint="-0.14999847407452621"/>
      </patternFill>
    </fill>
    <fill>
      <patternFill patternType="solid">
        <fgColor theme="5" tint="0.79998168889431442"/>
        <bgColor theme="0" tint="-0.14999847407452621"/>
      </patternFill>
    </fill>
    <fill>
      <patternFill patternType="solid">
        <fgColor theme="0" tint="-4.9989318521683403E-2"/>
        <bgColor indexed="64"/>
      </patternFill>
    </fill>
    <fill>
      <patternFill patternType="solid">
        <fgColor rgb="FFCCCCCC"/>
        <bgColor indexed="64"/>
      </patternFill>
    </fill>
    <fill>
      <patternFill patternType="solid">
        <fgColor rgb="FFF4F4F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style="thick">
        <color rgb="FFFFC000"/>
      </right>
      <top/>
      <bottom style="thick">
        <color rgb="FFFFC000"/>
      </bottom>
      <diagonal/>
    </border>
    <border>
      <left/>
      <right/>
      <top/>
      <bottom style="thick">
        <color rgb="FFFFC000"/>
      </bottom>
      <diagonal/>
    </border>
    <border>
      <left style="thick">
        <color rgb="FFFFC000"/>
      </left>
      <right/>
      <top/>
      <bottom style="thick">
        <color rgb="FFFFC000"/>
      </bottom>
      <diagonal/>
    </border>
    <border>
      <left/>
      <right style="thick">
        <color rgb="FFFFC000"/>
      </right>
      <top/>
      <bottom/>
      <diagonal/>
    </border>
    <border>
      <left style="thick">
        <color rgb="FFFFC000"/>
      </left>
      <right/>
      <top/>
      <bottom/>
      <diagonal/>
    </border>
    <border>
      <left/>
      <right style="thick">
        <color rgb="FFFFC000"/>
      </right>
      <top style="thick">
        <color rgb="FFFFC000"/>
      </top>
      <bottom/>
      <diagonal/>
    </border>
    <border>
      <left/>
      <right/>
      <top style="thick">
        <color rgb="FFFFC000"/>
      </top>
      <bottom/>
      <diagonal/>
    </border>
    <border>
      <left style="thick">
        <color rgb="FFFFC000"/>
      </left>
      <right/>
      <top style="thick">
        <color rgb="FFFFC000"/>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style="thin">
        <color indexed="64"/>
      </left>
      <right style="thin">
        <color theme="2" tint="-9.9978637043366805E-2"/>
      </right>
      <top style="thin">
        <color indexed="64"/>
      </top>
      <bottom style="thin">
        <color indexed="64"/>
      </bottom>
      <diagonal/>
    </border>
    <border>
      <left style="thin">
        <color theme="2" tint="-9.9978637043366805E-2"/>
      </left>
      <right style="thin">
        <color theme="2" tint="-9.9978637043366805E-2"/>
      </right>
      <top style="thin">
        <color indexed="64"/>
      </top>
      <bottom style="thin">
        <color indexed="64"/>
      </bottom>
      <diagonal/>
    </border>
    <border>
      <left style="thin">
        <color theme="2" tint="-9.9978637043366805E-2"/>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style="medium">
        <color indexed="64"/>
      </top>
      <bottom style="medium">
        <color indexed="64"/>
      </bottom>
      <diagonal/>
    </border>
    <border>
      <left/>
      <right/>
      <top style="thin">
        <color theme="2" tint="-9.9978637043366805E-2"/>
      </top>
      <bottom style="thin">
        <color indexed="64"/>
      </bottom>
      <diagonal/>
    </border>
    <border>
      <left/>
      <right style="thin">
        <color indexed="64"/>
      </right>
      <top/>
      <bottom/>
      <diagonal/>
    </border>
    <border>
      <left style="thin">
        <color theme="2" tint="-9.9978637043366805E-2"/>
      </left>
      <right/>
      <top/>
      <bottom/>
      <diagonal/>
    </border>
    <border>
      <left style="thin">
        <color theme="2" tint="-9.9978637043366805E-2"/>
      </left>
      <right style="thin">
        <color theme="2" tint="-9.9978637043366805E-2"/>
      </right>
      <top style="thin">
        <color theme="2" tint="-9.9978637043366805E-2"/>
      </top>
      <bottom/>
      <diagonal/>
    </border>
    <border>
      <left style="medium">
        <color indexed="64"/>
      </left>
      <right/>
      <top/>
      <bottom/>
      <diagonal/>
    </border>
    <border>
      <left style="medium">
        <color auto="1"/>
      </left>
      <right style="medium">
        <color auto="1"/>
      </right>
      <top/>
      <bottom style="medium">
        <color auto="1"/>
      </bottom>
      <diagonal/>
    </border>
  </borders>
  <cellStyleXfs count="1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19" fillId="0" borderId="0" applyNumberFormat="0" applyFill="0" applyBorder="0" applyAlignment="0" applyProtection="0"/>
    <xf numFmtId="0" fontId="20" fillId="8" borderId="11" applyNumberFormat="0" applyAlignment="0" applyProtection="0"/>
    <xf numFmtId="0" fontId="21" fillId="0" borderId="0" applyNumberFormat="0" applyFill="0" applyBorder="0" applyAlignment="0" applyProtection="0"/>
    <xf numFmtId="0" fontId="4" fillId="9" borderId="0" applyNumberFormat="0" applyBorder="0" applyAlignment="0" applyProtection="0"/>
    <xf numFmtId="0" fontId="23" fillId="0" borderId="0" applyNumberFormat="0" applyFill="0" applyBorder="0" applyAlignment="0" applyProtection="0"/>
  </cellStyleXfs>
  <cellXfs count="197">
    <xf numFmtId="0" fontId="0" fillId="0" borderId="0" xfId="0"/>
    <xf numFmtId="0" fontId="0" fillId="0" borderId="0" xfId="0" applyProtection="1">
      <protection locked="0"/>
    </xf>
    <xf numFmtId="0" fontId="1" fillId="0" borderId="0" xfId="0" applyFont="1" applyProtection="1">
      <protection locked="0"/>
    </xf>
    <xf numFmtId="0" fontId="0" fillId="0" borderId="0" xfId="0" applyProtection="1"/>
    <xf numFmtId="0" fontId="0" fillId="0" borderId="0" xfId="0" applyNumberFormat="1" applyProtection="1"/>
    <xf numFmtId="0" fontId="1" fillId="0" borderId="0" xfId="0" applyFont="1" applyProtection="1"/>
    <xf numFmtId="0" fontId="0" fillId="0" borderId="0" xfId="0" applyFont="1" applyProtection="1">
      <protection locked="0"/>
    </xf>
    <xf numFmtId="0" fontId="2" fillId="0" borderId="0" xfId="0" applyFont="1" applyProtection="1">
      <protection locked="0"/>
    </xf>
    <xf numFmtId="0" fontId="0" fillId="0" borderId="3" xfId="0" applyBorder="1" applyProtection="1"/>
    <xf numFmtId="0" fontId="1" fillId="0" borderId="7" xfId="0" applyFont="1" applyBorder="1" applyProtection="1"/>
    <xf numFmtId="0" fontId="0" fillId="0" borderId="7" xfId="0" applyBorder="1" applyProtection="1"/>
    <xf numFmtId="164" fontId="1" fillId="0" borderId="7" xfId="0" applyNumberFormat="1" applyFont="1" applyBorder="1" applyProtection="1"/>
    <xf numFmtId="0" fontId="0" fillId="0" borderId="9" xfId="0" applyBorder="1" applyProtection="1"/>
    <xf numFmtId="164" fontId="0" fillId="0" borderId="7" xfId="0" applyNumberFormat="1" applyBorder="1" applyProtection="1"/>
    <xf numFmtId="0" fontId="15" fillId="0" borderId="0" xfId="0" applyFont="1" applyAlignment="1" applyProtection="1">
      <alignment wrapText="1"/>
      <protection locked="0"/>
    </xf>
    <xf numFmtId="0" fontId="15" fillId="0" borderId="0" xfId="0" applyFont="1" applyProtection="1">
      <protection locked="0"/>
    </xf>
    <xf numFmtId="0" fontId="0" fillId="0" borderId="0" xfId="0" applyBorder="1" applyProtection="1"/>
    <xf numFmtId="0" fontId="0" fillId="0" borderId="9" xfId="0" applyBorder="1" applyProtection="1">
      <protection locked="0"/>
    </xf>
    <xf numFmtId="0" fontId="1" fillId="0" borderId="9" xfId="0" applyFont="1" applyBorder="1" applyProtection="1">
      <protection locked="0"/>
    </xf>
    <xf numFmtId="0" fontId="0" fillId="0" borderId="0" xfId="0" quotePrefix="1" applyProtection="1">
      <protection locked="0"/>
    </xf>
    <xf numFmtId="0" fontId="0" fillId="0" borderId="0" xfId="0" applyFont="1" applyProtection="1"/>
    <xf numFmtId="0" fontId="3" fillId="0" borderId="0" xfId="0" applyFont="1" applyAlignment="1" applyProtection="1"/>
    <xf numFmtId="0" fontId="0" fillId="0" borderId="0" xfId="0" applyAlignment="1" applyProtection="1"/>
    <xf numFmtId="0" fontId="0" fillId="0" borderId="0" xfId="0" applyFill="1" applyProtection="1"/>
    <xf numFmtId="0" fontId="6" fillId="0" borderId="0" xfId="0" applyFont="1" applyProtection="1"/>
    <xf numFmtId="0" fontId="1" fillId="0" borderId="0" xfId="0" applyNumberFormat="1" applyFont="1" applyProtection="1"/>
    <xf numFmtId="0" fontId="0" fillId="0" borderId="9" xfId="0" applyFont="1" applyBorder="1" applyProtection="1">
      <protection locked="0"/>
    </xf>
    <xf numFmtId="0" fontId="13" fillId="0" borderId="9" xfId="0" applyFont="1" applyBorder="1" applyProtection="1">
      <protection locked="0"/>
    </xf>
    <xf numFmtId="0" fontId="12" fillId="0" borderId="9" xfId="0" applyFont="1" applyBorder="1" applyProtection="1">
      <protection locked="0"/>
    </xf>
    <xf numFmtId="0" fontId="14" fillId="0" borderId="9" xfId="0" applyFont="1" applyBorder="1" applyProtection="1">
      <protection locked="0"/>
    </xf>
    <xf numFmtId="0" fontId="0" fillId="0" borderId="0" xfId="0" applyAlignment="1" applyProtection="1">
      <alignment horizontal="center"/>
    </xf>
    <xf numFmtId="0" fontId="0" fillId="0" borderId="20" xfId="0" applyBorder="1" applyProtection="1">
      <protection locked="0"/>
    </xf>
    <xf numFmtId="0" fontId="0" fillId="0" borderId="20" xfId="0" applyFont="1" applyBorder="1" applyProtection="1">
      <protection locked="0"/>
    </xf>
    <xf numFmtId="0" fontId="1" fillId="0" borderId="20" xfId="0" applyFont="1" applyBorder="1" applyProtection="1">
      <protection locked="0"/>
    </xf>
    <xf numFmtId="0" fontId="18" fillId="0" borderId="20" xfId="0" applyFont="1" applyBorder="1" applyProtection="1">
      <protection locked="0"/>
    </xf>
    <xf numFmtId="0" fontId="17" fillId="7" borderId="20" xfId="0" applyFont="1" applyFill="1" applyBorder="1" applyAlignment="1" applyProtection="1">
      <alignment vertical="center" wrapText="1"/>
      <protection locked="0"/>
    </xf>
    <xf numFmtId="0" fontId="0" fillId="0" borderId="20" xfId="0" applyBorder="1" applyAlignment="1" applyProtection="1">
      <alignment wrapText="1"/>
      <protection locked="0"/>
    </xf>
    <xf numFmtId="0" fontId="0" fillId="12" borderId="9" xfId="0" applyFont="1" applyFill="1" applyBorder="1" applyProtection="1">
      <protection locked="0"/>
    </xf>
    <xf numFmtId="0" fontId="14" fillId="13" borderId="9" xfId="0" applyFont="1" applyFill="1" applyBorder="1" applyProtection="1">
      <protection locked="0"/>
    </xf>
    <xf numFmtId="0" fontId="6" fillId="0" borderId="0" xfId="0" applyFont="1" applyAlignment="1" applyProtection="1">
      <alignment horizontal="center"/>
    </xf>
    <xf numFmtId="0" fontId="1" fillId="0" borderId="32" xfId="0" applyFont="1" applyBorder="1" applyProtection="1"/>
    <xf numFmtId="0" fontId="0" fillId="0" borderId="32" xfId="0" applyBorder="1" applyProtection="1"/>
    <xf numFmtId="164" fontId="1" fillId="0" borderId="32" xfId="0" applyNumberFormat="1" applyFont="1" applyBorder="1" applyProtection="1"/>
    <xf numFmtId="0" fontId="0" fillId="0" borderId="33" xfId="0" applyBorder="1" applyProtection="1"/>
    <xf numFmtId="164" fontId="0" fillId="0" borderId="8" xfId="0" applyNumberFormat="1" applyBorder="1" applyProtection="1"/>
    <xf numFmtId="164" fontId="0" fillId="0" borderId="33" xfId="0" applyNumberFormat="1" applyBorder="1" applyProtection="1"/>
    <xf numFmtId="164" fontId="0" fillId="0" borderId="6" xfId="0" applyNumberFormat="1" applyBorder="1" applyProtection="1"/>
    <xf numFmtId="0" fontId="1" fillId="0" borderId="0" xfId="0" applyFont="1" applyBorder="1" applyProtection="1"/>
    <xf numFmtId="0" fontId="0" fillId="0" borderId="0" xfId="0" applyBorder="1" applyAlignment="1" applyProtection="1"/>
    <xf numFmtId="0" fontId="4" fillId="0" borderId="0" xfId="0" applyFont="1" applyProtection="1"/>
    <xf numFmtId="0" fontId="11" fillId="5" borderId="1" xfId="4" applyFont="1" applyBorder="1" applyAlignment="1" applyProtection="1">
      <alignment horizontal="center" vertical="center"/>
    </xf>
    <xf numFmtId="0" fontId="9" fillId="4" borderId="1" xfId="3" applyFont="1" applyBorder="1" applyAlignment="1" applyProtection="1">
      <alignment horizontal="center"/>
    </xf>
    <xf numFmtId="0" fontId="1" fillId="0" borderId="7" xfId="0" applyNumberFormat="1" applyFont="1" applyBorder="1" applyProtection="1"/>
    <xf numFmtId="0" fontId="9" fillId="4" borderId="1" xfId="3" applyFont="1" applyBorder="1" applyAlignment="1" applyProtection="1">
      <alignment horizontal="center" vertical="center"/>
    </xf>
    <xf numFmtId="0" fontId="0" fillId="0" borderId="34" xfId="0" applyBorder="1" applyAlignment="1" applyProtection="1"/>
    <xf numFmtId="0" fontId="10" fillId="0" borderId="35" xfId="0" applyFont="1" applyBorder="1" applyProtection="1"/>
    <xf numFmtId="0" fontId="10" fillId="0" borderId="23" xfId="0" applyFont="1" applyBorder="1" applyProtection="1"/>
    <xf numFmtId="0" fontId="10" fillId="0" borderId="24" xfId="0" applyFont="1" applyBorder="1" applyProtection="1"/>
    <xf numFmtId="0" fontId="10" fillId="0" borderId="0" xfId="0" applyFont="1" applyProtection="1"/>
    <xf numFmtId="0" fontId="0" fillId="11" borderId="0" xfId="0" applyFill="1" applyProtection="1"/>
    <xf numFmtId="0" fontId="25" fillId="14" borderId="0" xfId="6" applyFont="1" applyFill="1" applyAlignment="1" applyProtection="1">
      <alignment horizontal="center"/>
    </xf>
    <xf numFmtId="0" fontId="23" fillId="14" borderId="0" xfId="10" applyFill="1" applyAlignment="1" applyProtection="1">
      <alignment vertical="center"/>
    </xf>
    <xf numFmtId="0" fontId="0" fillId="14" borderId="0" xfId="0" applyFill="1" applyProtection="1"/>
    <xf numFmtId="0" fontId="0" fillId="14" borderId="16" xfId="0" applyFill="1" applyBorder="1" applyProtection="1"/>
    <xf numFmtId="0" fontId="0" fillId="14" borderId="15" xfId="0" applyFill="1" applyBorder="1" applyProtection="1"/>
    <xf numFmtId="0" fontId="0" fillId="14" borderId="0" xfId="0" applyFill="1" applyBorder="1" applyProtection="1"/>
    <xf numFmtId="0" fontId="22" fillId="14" borderId="15" xfId="6" applyFont="1" applyFill="1" applyBorder="1" applyAlignment="1" applyProtection="1">
      <alignment horizontal="center"/>
    </xf>
    <xf numFmtId="0" fontId="21" fillId="14" borderId="0" xfId="8" applyFill="1" applyBorder="1" applyAlignment="1" applyProtection="1">
      <alignment horizontal="left"/>
    </xf>
    <xf numFmtId="0" fontId="0" fillId="14" borderId="14" xfId="0" applyFill="1" applyBorder="1" applyProtection="1"/>
    <xf numFmtId="0" fontId="0" fillId="14" borderId="13" xfId="0" applyFill="1" applyBorder="1" applyAlignment="1" applyProtection="1">
      <alignment horizontal="center"/>
    </xf>
    <xf numFmtId="0" fontId="0" fillId="14" borderId="13" xfId="0" applyFill="1" applyBorder="1" applyProtection="1"/>
    <xf numFmtId="0" fontId="0" fillId="14" borderId="12" xfId="0" applyFill="1" applyBorder="1" applyProtection="1"/>
    <xf numFmtId="0" fontId="0" fillId="14" borderId="0" xfId="0" applyFill="1" applyBorder="1" applyAlignment="1" applyProtection="1">
      <alignment horizontal="center"/>
    </xf>
    <xf numFmtId="0" fontId="29" fillId="14" borderId="0" xfId="0" applyFont="1" applyFill="1" applyProtection="1"/>
    <xf numFmtId="0" fontId="20" fillId="14" borderId="0" xfId="7" applyFill="1" applyBorder="1" applyAlignment="1" applyProtection="1">
      <alignment horizontal="center"/>
    </xf>
    <xf numFmtId="0" fontId="28" fillId="14" borderId="0" xfId="10" quotePrefix="1" applyFont="1" applyFill="1" applyBorder="1" applyAlignment="1" applyProtection="1"/>
    <xf numFmtId="0" fontId="28" fillId="14" borderId="0" xfId="10" quotePrefix="1" applyFont="1" applyFill="1" applyBorder="1" applyAlignment="1" applyProtection="1">
      <alignment horizontal="center"/>
    </xf>
    <xf numFmtId="0" fontId="23" fillId="14" borderId="0" xfId="10" quotePrefix="1" applyFill="1" applyAlignment="1" applyProtection="1">
      <alignment horizontal="center"/>
    </xf>
    <xf numFmtId="0" fontId="0" fillId="14" borderId="0" xfId="0" applyFill="1" applyAlignment="1" applyProtection="1">
      <alignment horizontal="center"/>
    </xf>
    <xf numFmtId="0" fontId="0" fillId="14" borderId="30" xfId="0" applyFill="1" applyBorder="1" applyProtection="1"/>
    <xf numFmtId="0" fontId="4" fillId="6" borderId="9" xfId="5" applyBorder="1" applyProtection="1">
      <protection locked="0"/>
    </xf>
    <xf numFmtId="0" fontId="30" fillId="14" borderId="0" xfId="7" applyFont="1" applyFill="1" applyBorder="1" applyAlignment="1" applyProtection="1">
      <alignment horizontal="center"/>
    </xf>
    <xf numFmtId="0" fontId="20" fillId="14" borderId="0" xfId="7" applyFill="1" applyBorder="1" applyAlignment="1" applyProtection="1"/>
    <xf numFmtId="0" fontId="20" fillId="11" borderId="0" xfId="7" applyFill="1" applyBorder="1" applyAlignment="1" applyProtection="1"/>
    <xf numFmtId="0" fontId="6" fillId="14" borderId="0" xfId="0" applyFont="1" applyFill="1" applyProtection="1"/>
    <xf numFmtId="0" fontId="32" fillId="14" borderId="0" xfId="0" applyFont="1" applyFill="1" applyAlignment="1" applyProtection="1"/>
    <xf numFmtId="0" fontId="0" fillId="14" borderId="0" xfId="0" applyFill="1" applyAlignment="1" applyProtection="1">
      <alignment vertical="center" wrapText="1"/>
    </xf>
    <xf numFmtId="0" fontId="25" fillId="14" borderId="0" xfId="6" applyFont="1" applyFill="1" applyAlignment="1" applyProtection="1">
      <alignment horizontal="center" wrapText="1"/>
    </xf>
    <xf numFmtId="0" fontId="22" fillId="14" borderId="16" xfId="6" applyFont="1" applyFill="1" applyBorder="1" applyAlignment="1" applyProtection="1">
      <alignment horizontal="center"/>
    </xf>
    <xf numFmtId="0" fontId="6" fillId="0" borderId="9" xfId="0" applyFont="1" applyBorder="1" applyAlignment="1" applyProtection="1">
      <alignment horizontal="center"/>
      <protection locked="0"/>
    </xf>
    <xf numFmtId="0" fontId="0" fillId="0" borderId="9" xfId="0" applyFont="1" applyBorder="1" applyProtection="1"/>
    <xf numFmtId="0" fontId="14" fillId="0" borderId="9" xfId="0" applyFont="1" applyBorder="1" applyProtection="1"/>
    <xf numFmtId="0" fontId="0" fillId="14" borderId="0" xfId="0" applyFill="1" applyAlignment="1" applyProtection="1">
      <alignment horizontal="center" vertical="center"/>
    </xf>
    <xf numFmtId="0" fontId="6" fillId="0" borderId="0" xfId="0" applyFont="1" applyAlignment="1" applyProtection="1">
      <alignment horizontal="center"/>
    </xf>
    <xf numFmtId="0" fontId="34" fillId="10" borderId="0" xfId="0" applyFont="1" applyFill="1" applyProtection="1"/>
    <xf numFmtId="0" fontId="7" fillId="10" borderId="0" xfId="1" applyFont="1" applyFill="1" applyAlignment="1" applyProtection="1"/>
    <xf numFmtId="0" fontId="6" fillId="0" borderId="9" xfId="0" applyFont="1" applyBorder="1" applyAlignment="1" applyProtection="1">
      <alignment horizontal="center"/>
    </xf>
    <xf numFmtId="0" fontId="16" fillId="7" borderId="20" xfId="0" applyFont="1" applyFill="1" applyBorder="1" applyAlignment="1" applyProtection="1">
      <alignment vertical="center" wrapText="1"/>
      <protection locked="0"/>
    </xf>
    <xf numFmtId="0" fontId="6" fillId="0" borderId="0" xfId="0" applyFont="1" applyAlignment="1" applyProtection="1">
      <alignment horizontal="center"/>
    </xf>
    <xf numFmtId="0" fontId="0" fillId="0" borderId="0" xfId="0" applyFont="1"/>
    <xf numFmtId="0" fontId="36" fillId="0" borderId="9" xfId="0" applyFont="1" applyBorder="1" applyProtection="1">
      <protection locked="0"/>
    </xf>
    <xf numFmtId="0" fontId="36" fillId="0" borderId="37" xfId="0" applyFont="1" applyBorder="1" applyProtection="1">
      <protection locked="0"/>
    </xf>
    <xf numFmtId="0" fontId="37" fillId="0" borderId="0" xfId="0" applyFont="1" applyAlignment="1">
      <alignment vertical="center" readingOrder="1"/>
    </xf>
    <xf numFmtId="0" fontId="0" fillId="0" borderId="0" xfId="0" applyAlignment="1">
      <alignment vertical="center" readingOrder="1"/>
    </xf>
    <xf numFmtId="0" fontId="38" fillId="0" borderId="0" xfId="0" applyFont="1" applyAlignment="1">
      <alignment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0" fillId="0" borderId="0" xfId="0" applyFont="1" applyAlignment="1">
      <alignment horizontal="center" vertical="center" wrapText="1"/>
    </xf>
    <xf numFmtId="0" fontId="41" fillId="15" borderId="0" xfId="0" applyFont="1" applyFill="1" applyAlignment="1">
      <alignment vertical="center" wrapText="1"/>
    </xf>
    <xf numFmtId="0" fontId="41" fillId="0" borderId="0" xfId="0" applyFont="1" applyAlignment="1">
      <alignment horizontal="center" vertical="center" wrapText="1"/>
    </xf>
    <xf numFmtId="0" fontId="40" fillId="15" borderId="0" xfId="0" applyFont="1" applyFill="1" applyAlignment="1">
      <alignment vertical="center" wrapText="1"/>
    </xf>
    <xf numFmtId="0" fontId="41" fillId="16" borderId="0" xfId="0" applyFont="1" applyFill="1" applyAlignment="1">
      <alignment vertical="center" wrapText="1"/>
    </xf>
    <xf numFmtId="0" fontId="40" fillId="16" borderId="0" xfId="0" applyFont="1" applyFill="1" applyAlignment="1">
      <alignment vertical="center" wrapText="1"/>
    </xf>
    <xf numFmtId="0" fontId="0" fillId="16" borderId="0" xfId="0" applyFill="1" applyAlignment="1">
      <alignment vertical="top" wrapText="1"/>
    </xf>
    <xf numFmtId="0" fontId="40" fillId="0" borderId="0" xfId="0" applyFont="1" applyAlignment="1">
      <alignment vertical="center" wrapText="1"/>
    </xf>
    <xf numFmtId="0" fontId="0" fillId="15" borderId="0" xfId="0" applyFill="1" applyAlignment="1">
      <alignment vertical="top" wrapText="1"/>
    </xf>
    <xf numFmtId="0" fontId="40" fillId="15" borderId="0" xfId="0" applyFont="1" applyFill="1" applyAlignment="1">
      <alignment vertical="top" wrapText="1"/>
    </xf>
    <xf numFmtId="0" fontId="40" fillId="0" borderId="0" xfId="0" applyFont="1" applyAlignment="1">
      <alignment horizontal="center" vertical="center" wrapText="1"/>
    </xf>
    <xf numFmtId="0" fontId="40" fillId="15" borderId="0" xfId="0" applyFont="1" applyFill="1" applyAlignment="1">
      <alignment vertical="center" wrapText="1"/>
    </xf>
    <xf numFmtId="0" fontId="40" fillId="16" borderId="0" xfId="0" applyFont="1" applyFill="1" applyAlignment="1">
      <alignment vertical="top" wrapText="1"/>
    </xf>
    <xf numFmtId="0" fontId="27" fillId="14" borderId="19" xfId="0" applyFont="1" applyFill="1" applyBorder="1" applyAlignment="1" applyProtection="1">
      <alignment horizontal="center"/>
    </xf>
    <xf numFmtId="0" fontId="27" fillId="14" borderId="18" xfId="0" applyFont="1" applyFill="1" applyBorder="1" applyAlignment="1" applyProtection="1">
      <alignment horizontal="center"/>
    </xf>
    <xf numFmtId="0" fontId="27" fillId="14" borderId="17" xfId="0" applyFont="1" applyFill="1" applyBorder="1" applyAlignment="1" applyProtection="1">
      <alignment horizontal="center"/>
    </xf>
    <xf numFmtId="0" fontId="22" fillId="14" borderId="16" xfId="6" applyFont="1" applyFill="1" applyBorder="1" applyAlignment="1" applyProtection="1">
      <alignment horizontal="center"/>
    </xf>
    <xf numFmtId="0" fontId="22" fillId="14" borderId="0" xfId="6" applyFont="1" applyFill="1" applyBorder="1" applyAlignment="1" applyProtection="1">
      <alignment horizontal="center"/>
    </xf>
    <xf numFmtId="0" fontId="22" fillId="14" borderId="15" xfId="6" applyFont="1" applyFill="1" applyBorder="1" applyAlignment="1" applyProtection="1">
      <alignment horizontal="center"/>
    </xf>
    <xf numFmtId="0" fontId="4" fillId="6" borderId="21" xfId="5" applyBorder="1" applyAlignment="1" applyProtection="1">
      <alignment horizontal="center"/>
      <protection locked="0"/>
    </xf>
    <xf numFmtId="0" fontId="4" fillId="6" borderId="22" xfId="5" applyBorder="1" applyAlignment="1" applyProtection="1">
      <alignment horizontal="center"/>
      <protection locked="0"/>
    </xf>
    <xf numFmtId="0" fontId="4" fillId="6" borderId="2" xfId="5" applyBorder="1" applyAlignment="1" applyProtection="1">
      <alignment horizontal="center"/>
    </xf>
    <xf numFmtId="0" fontId="4" fillId="6" borderId="7" xfId="5" applyBorder="1" applyAlignment="1" applyProtection="1">
      <alignment horizontal="center"/>
    </xf>
    <xf numFmtId="0" fontId="4" fillId="6" borderId="8" xfId="5" applyBorder="1" applyAlignment="1" applyProtection="1">
      <alignment horizontal="center"/>
    </xf>
    <xf numFmtId="0" fontId="31" fillId="14" borderId="0" xfId="6" applyFont="1" applyFill="1" applyAlignment="1" applyProtection="1">
      <alignment horizontal="center"/>
    </xf>
    <xf numFmtId="0" fontId="0" fillId="14" borderId="0" xfId="0" applyFill="1" applyAlignment="1" applyProtection="1">
      <alignment horizontal="center" vertical="center"/>
    </xf>
    <xf numFmtId="0" fontId="21" fillId="14" borderId="0" xfId="8" applyFill="1" applyBorder="1" applyAlignment="1" applyProtection="1">
      <alignment horizontal="center"/>
    </xf>
    <xf numFmtId="0" fontId="0" fillId="14" borderId="0" xfId="0" applyFill="1" applyAlignment="1" applyProtection="1">
      <alignment horizontal="center" vertical="center" wrapText="1"/>
    </xf>
    <xf numFmtId="0" fontId="4" fillId="6" borderId="3" xfId="5" applyBorder="1" applyAlignment="1" applyProtection="1">
      <alignment horizontal="center"/>
    </xf>
    <xf numFmtId="0" fontId="4" fillId="6" borderId="28" xfId="5" applyBorder="1" applyAlignment="1" applyProtection="1">
      <alignment horizontal="center"/>
    </xf>
    <xf numFmtId="0" fontId="4" fillId="6" borderId="4" xfId="5" applyBorder="1" applyAlignment="1" applyProtection="1">
      <alignment horizontal="center"/>
    </xf>
    <xf numFmtId="0" fontId="4" fillId="6" borderId="29" xfId="5" applyBorder="1" applyAlignment="1" applyProtection="1">
      <alignment horizontal="center"/>
    </xf>
    <xf numFmtId="0" fontId="4" fillId="9" borderId="0" xfId="9" applyBorder="1" applyAlignment="1" applyProtection="1">
      <alignment horizontal="center"/>
    </xf>
    <xf numFmtId="0" fontId="4" fillId="9" borderId="10" xfId="9" applyBorder="1" applyAlignment="1" applyProtection="1">
      <alignment horizontal="center"/>
    </xf>
    <xf numFmtId="0" fontId="4" fillId="6" borderId="5" xfId="5" applyBorder="1" applyAlignment="1" applyProtection="1">
      <alignment horizontal="center"/>
    </xf>
    <xf numFmtId="0" fontId="4" fillId="6" borderId="6" xfId="5" applyBorder="1" applyAlignment="1" applyProtection="1">
      <alignment horizontal="center"/>
    </xf>
    <xf numFmtId="0" fontId="4" fillId="6" borderId="25" xfId="5" applyBorder="1" applyAlignment="1" applyProtection="1">
      <alignment horizontal="center"/>
    </xf>
    <xf numFmtId="0" fontId="4" fillId="6" borderId="26" xfId="5" applyBorder="1" applyAlignment="1" applyProtection="1">
      <alignment horizontal="center"/>
    </xf>
    <xf numFmtId="0" fontId="4" fillId="6" borderId="27" xfId="5" applyBorder="1" applyAlignment="1" applyProtection="1">
      <alignment horizontal="center"/>
    </xf>
    <xf numFmtId="0" fontId="28" fillId="14" borderId="21" xfId="10" quotePrefix="1" applyFont="1" applyFill="1" applyBorder="1" applyAlignment="1" applyProtection="1">
      <alignment horizontal="center"/>
    </xf>
    <xf numFmtId="0" fontId="28" fillId="14" borderId="31" xfId="10" quotePrefix="1" applyFont="1" applyFill="1" applyBorder="1" applyAlignment="1" applyProtection="1">
      <alignment horizontal="center"/>
    </xf>
    <xf numFmtId="0" fontId="28" fillId="14" borderId="22" xfId="10" quotePrefix="1" applyFont="1" applyFill="1" applyBorder="1" applyAlignment="1" applyProtection="1">
      <alignment horizontal="center"/>
    </xf>
    <xf numFmtId="0" fontId="0" fillId="14" borderId="0" xfId="0" applyFill="1" applyAlignment="1" applyProtection="1">
      <alignment horizontal="left" indent="2"/>
    </xf>
    <xf numFmtId="0" fontId="0" fillId="14" borderId="0" xfId="0" applyFill="1" applyAlignment="1" applyProtection="1"/>
    <xf numFmtId="0" fontId="20" fillId="14" borderId="0" xfId="7" applyFill="1" applyBorder="1" applyAlignment="1" applyProtection="1">
      <alignment horizontal="center"/>
    </xf>
    <xf numFmtId="0" fontId="16" fillId="7" borderId="20" xfId="0" applyFont="1" applyFill="1" applyBorder="1" applyAlignment="1" applyProtection="1">
      <alignment vertical="center" wrapText="1"/>
      <protection locked="0"/>
    </xf>
    <xf numFmtId="0" fontId="0" fillId="0" borderId="0" xfId="0" applyAlignment="1" applyProtection="1">
      <alignment horizontal="center"/>
    </xf>
    <xf numFmtId="0" fontId="26" fillId="0" borderId="0" xfId="0" applyFont="1" applyAlignment="1" applyProtection="1">
      <alignment horizontal="center"/>
    </xf>
    <xf numFmtId="0" fontId="10" fillId="0" borderId="4" xfId="0" applyFont="1" applyBorder="1" applyAlignment="1" applyProtection="1">
      <alignment horizontal="center"/>
    </xf>
    <xf numFmtId="0" fontId="10" fillId="0" borderId="0" xfId="0" applyFont="1" applyAlignment="1" applyProtection="1">
      <alignment horizontal="center"/>
    </xf>
    <xf numFmtId="0" fontId="10" fillId="0" borderId="0" xfId="0" applyFont="1" applyBorder="1" applyAlignment="1" applyProtection="1">
      <alignment horizontal="center" wrapText="1"/>
    </xf>
    <xf numFmtId="0" fontId="10" fillId="0" borderId="4" xfId="0" applyFont="1" applyBorder="1" applyAlignment="1" applyProtection="1">
      <alignment horizontal="center" wrapText="1"/>
    </xf>
    <xf numFmtId="0" fontId="0" fillId="0" borderId="0" xfId="0" applyBorder="1" applyAlignment="1" applyProtection="1">
      <alignment horizontal="center"/>
    </xf>
    <xf numFmtId="0" fontId="8" fillId="4" borderId="36" xfId="3" applyFont="1" applyBorder="1" applyAlignment="1" applyProtection="1">
      <alignment horizontal="center"/>
    </xf>
    <xf numFmtId="0" fontId="8" fillId="4" borderId="0" xfId="3" applyFont="1" applyAlignment="1" applyProtection="1">
      <alignment horizontal="center"/>
    </xf>
    <xf numFmtId="0" fontId="8" fillId="6" borderId="36" xfId="5" applyFont="1" applyBorder="1" applyAlignment="1" applyProtection="1">
      <alignment horizontal="center"/>
    </xf>
    <xf numFmtId="0" fontId="8" fillId="6" borderId="0" xfId="5" applyFont="1" applyAlignment="1" applyProtection="1">
      <alignment horizontal="center"/>
    </xf>
    <xf numFmtId="0" fontId="5" fillId="3" borderId="36" xfId="2" applyFont="1" applyBorder="1" applyAlignment="1" applyProtection="1">
      <alignment horizontal="center"/>
    </xf>
    <xf numFmtId="0" fontId="5" fillId="3" borderId="0" xfId="2" applyFont="1" applyAlignment="1" applyProtection="1">
      <alignment horizontal="center"/>
    </xf>
    <xf numFmtId="0" fontId="5" fillId="2" borderId="36" xfId="1" applyFont="1" applyBorder="1" applyAlignment="1" applyProtection="1">
      <alignment horizontal="center"/>
    </xf>
    <xf numFmtId="0" fontId="5" fillId="2" borderId="0" xfId="1" applyFont="1" applyAlignment="1" applyProtection="1">
      <alignment horizontal="center"/>
    </xf>
    <xf numFmtId="0" fontId="8" fillId="6" borderId="21" xfId="5" applyFont="1" applyBorder="1" applyAlignment="1" applyProtection="1">
      <alignment horizontal="center"/>
      <protection locked="0"/>
    </xf>
    <xf numFmtId="0" fontId="8" fillId="6" borderId="31" xfId="5" applyFont="1" applyBorder="1" applyAlignment="1" applyProtection="1">
      <alignment horizontal="center"/>
      <protection locked="0"/>
    </xf>
    <xf numFmtId="0" fontId="8" fillId="6" borderId="22" xfId="5" applyFont="1" applyBorder="1" applyAlignment="1" applyProtection="1">
      <alignment horizontal="center"/>
      <protection locked="0"/>
    </xf>
    <xf numFmtId="0" fontId="6" fillId="0" borderId="0" xfId="0" applyFont="1" applyAlignment="1" applyProtection="1">
      <alignment horizontal="center" vertical="center" textRotation="90"/>
    </xf>
    <xf numFmtId="0" fontId="8" fillId="4" borderId="21" xfId="3" applyFont="1" applyBorder="1" applyAlignment="1" applyProtection="1">
      <alignment horizontal="center"/>
      <protection locked="0"/>
    </xf>
    <xf numFmtId="0" fontId="8" fillId="4" borderId="31" xfId="3" applyFont="1" applyBorder="1" applyAlignment="1" applyProtection="1">
      <alignment horizontal="center"/>
      <protection locked="0"/>
    </xf>
    <xf numFmtId="0" fontId="8" fillId="4" borderId="22" xfId="3" applyFont="1" applyBorder="1" applyAlignment="1" applyProtection="1">
      <alignment horizontal="center"/>
      <protection locked="0"/>
    </xf>
    <xf numFmtId="0" fontId="5" fillId="2" borderId="21" xfId="1" applyFont="1" applyBorder="1" applyAlignment="1" applyProtection="1">
      <alignment horizontal="center"/>
      <protection locked="0"/>
    </xf>
    <xf numFmtId="0" fontId="5" fillId="2" borderId="31" xfId="1" applyFont="1" applyBorder="1" applyAlignment="1" applyProtection="1">
      <alignment horizontal="center"/>
      <protection locked="0"/>
    </xf>
    <xf numFmtId="0" fontId="5" fillId="2" borderId="22" xfId="1" applyFont="1" applyBorder="1" applyAlignment="1" applyProtection="1">
      <alignment horizontal="center"/>
      <protection locked="0"/>
    </xf>
    <xf numFmtId="0" fontId="6" fillId="0" borderId="0" xfId="0" applyFont="1" applyAlignment="1" applyProtection="1">
      <alignment horizontal="center"/>
    </xf>
    <xf numFmtId="0" fontId="5" fillId="3" borderId="21" xfId="2" applyFont="1" applyBorder="1" applyAlignment="1" applyProtection="1">
      <alignment horizontal="center"/>
      <protection locked="0"/>
    </xf>
    <xf numFmtId="0" fontId="5" fillId="3" borderId="31" xfId="2" applyFont="1" applyBorder="1" applyAlignment="1" applyProtection="1">
      <alignment horizontal="center"/>
      <protection locked="0"/>
    </xf>
    <xf numFmtId="0" fontId="5" fillId="3" borderId="22" xfId="2" applyFont="1" applyBorder="1" applyAlignment="1" applyProtection="1">
      <alignment horizontal="center"/>
      <protection locked="0"/>
    </xf>
    <xf numFmtId="0" fontId="35" fillId="0" borderId="0" xfId="0" applyFont="1" applyProtection="1">
      <protection locked="0"/>
    </xf>
    <xf numFmtId="0" fontId="42" fillId="7" borderId="20" xfId="0" applyFont="1" applyFill="1" applyBorder="1" applyAlignment="1" applyProtection="1">
      <alignment vertical="center" wrapText="1"/>
      <protection locked="0"/>
    </xf>
    <xf numFmtId="0" fontId="41" fillId="15" borderId="0" xfId="0" applyFont="1" applyFill="1" applyAlignment="1">
      <alignment horizontal="left" vertical="center" wrapText="1" indent="1"/>
    </xf>
    <xf numFmtId="0" fontId="40" fillId="15" borderId="0" xfId="0" applyFont="1" applyFill="1" applyAlignment="1">
      <alignment horizontal="left" vertical="center" wrapText="1" indent="1"/>
    </xf>
    <xf numFmtId="0" fontId="41" fillId="16" borderId="0" xfId="0" applyFont="1" applyFill="1" applyAlignment="1">
      <alignment horizontal="left" vertical="center" wrapText="1" indent="1"/>
    </xf>
    <xf numFmtId="0" fontId="40" fillId="16" borderId="0" xfId="0" applyFont="1" applyFill="1" applyAlignment="1">
      <alignment horizontal="left" vertical="center" wrapText="1" indent="1"/>
    </xf>
    <xf numFmtId="0" fontId="43" fillId="0" borderId="0" xfId="0" applyFont="1" applyAlignment="1">
      <alignment horizontal="center" vertical="center" wrapText="1"/>
    </xf>
    <xf numFmtId="0" fontId="40" fillId="15" borderId="0" xfId="0" applyFont="1" applyFill="1" applyAlignment="1">
      <alignment vertical="top" wrapText="1" indent="1"/>
    </xf>
    <xf numFmtId="0" fontId="0" fillId="16" borderId="0" xfId="0" applyFill="1" applyAlignment="1">
      <alignment vertical="top" wrapText="1" indent="1"/>
    </xf>
    <xf numFmtId="0" fontId="0" fillId="15" borderId="0" xfId="0" applyFill="1" applyAlignment="1">
      <alignment vertical="top" wrapText="1" indent="1"/>
    </xf>
    <xf numFmtId="0" fontId="40" fillId="16" borderId="0" xfId="0" applyFont="1" applyFill="1" applyAlignment="1">
      <alignment vertical="top" wrapText="1" indent="1"/>
    </xf>
    <xf numFmtId="0" fontId="45" fillId="0" borderId="0" xfId="0" applyFont="1" applyAlignment="1">
      <alignment vertical="center" wrapText="1"/>
    </xf>
    <xf numFmtId="0" fontId="46" fillId="15" borderId="0" xfId="0" applyFont="1" applyFill="1" applyAlignment="1">
      <alignment horizontal="left" vertical="center" wrapText="1" indent="1"/>
    </xf>
    <xf numFmtId="0" fontId="47" fillId="15" borderId="0" xfId="0" applyFont="1" applyFill="1" applyAlignment="1">
      <alignment vertical="top" wrapText="1" indent="1"/>
    </xf>
    <xf numFmtId="0" fontId="47" fillId="15" borderId="0" xfId="0" applyFont="1" applyFill="1" applyAlignment="1">
      <alignment horizontal="left" vertical="center" wrapText="1" indent="1"/>
    </xf>
  </cellXfs>
  <cellStyles count="11">
    <cellStyle name="60% - Accent4" xfId="4" builtinId="44"/>
    <cellStyle name="60% - Accent6" xfId="9" builtinId="52"/>
    <cellStyle name="Accent1" xfId="1" builtinId="29"/>
    <cellStyle name="Accent2" xfId="2" builtinId="33"/>
    <cellStyle name="Accent4" xfId="3" builtinId="41"/>
    <cellStyle name="Accent6" xfId="5" builtinId="49"/>
    <cellStyle name="Calculation" xfId="7" builtinId="22"/>
    <cellStyle name="Explanatory Text" xfId="8" builtinId="53"/>
    <cellStyle name="Hyperlink" xfId="10" builtinId="8"/>
    <cellStyle name="Normal" xfId="0" builtinId="0"/>
    <cellStyle name="Title" xfId="6" builtinId="15"/>
  </cellStyles>
  <dxfs count="883">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strike val="0"/>
        <color theme="9"/>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numFmt numFmtId="0" formatCode="General"/>
      <border outline="0">
        <left style="medium">
          <color auto="1"/>
        </left>
      </border>
      <protection locked="1"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1"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font>
        <b/>
        <i val="0"/>
        <strike val="0"/>
        <condense val="0"/>
        <extend val="0"/>
        <outline val="0"/>
        <shadow val="0"/>
        <u val="none"/>
        <vertAlign val="baseline"/>
        <sz val="11"/>
        <color theme="1"/>
        <name val="Calibri"/>
        <scheme val="minor"/>
      </font>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font>
        <b/>
        <i val="0"/>
        <strike val="0"/>
        <condense val="0"/>
        <extend val="0"/>
        <outline val="0"/>
        <shadow val="0"/>
        <u val="none"/>
        <vertAlign val="baseline"/>
        <sz val="11"/>
        <color theme="1"/>
        <name val="Calibri"/>
        <scheme val="minor"/>
      </font>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protection locked="1" hidden="0"/>
    </dxf>
    <dxf>
      <protection locked="1" hidden="0"/>
    </dxf>
    <dxf>
      <protection locked="1" hidden="0"/>
    </dxf>
    <dxf>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164" formatCode="0.0"/>
      <border diagonalUp="0" diagonalDown="0" outline="0">
        <left/>
        <right style="thin">
          <color indexed="64"/>
        </right>
        <top/>
        <bottom/>
      </border>
      <protection locked="1" hidden="0"/>
    </dxf>
    <dxf>
      <numFmt numFmtId="164" formatCode="0.0"/>
      <border diagonalUp="0" diagonalDown="0" outline="0">
        <left/>
        <right/>
        <top style="thin">
          <color auto="1"/>
        </top>
        <bottom style="thin">
          <color auto="1"/>
        </bottom>
      </border>
      <protection locked="1" hidden="0"/>
    </dxf>
    <dxf>
      <numFmt numFmtId="164" formatCode="0.0"/>
      <border diagonalUp="0" diagonalDown="0" outline="0">
        <left/>
        <right/>
        <top style="thin">
          <color auto="1"/>
        </top>
        <bottom style="thin">
          <color auto="1"/>
        </bottom>
      </border>
      <protection locked="1" hidden="0"/>
    </dxf>
    <dxf>
      <numFmt numFmtId="164" formatCode="0.0"/>
      <border diagonalUp="0" diagonalDown="0" outline="0">
        <left/>
        <right/>
        <top style="thin">
          <color auto="1"/>
        </top>
        <bottom style="thin">
          <color auto="1"/>
        </bottom>
      </border>
      <protection locked="1" hidden="0"/>
    </dxf>
    <dxf>
      <border diagonalUp="0" diagonalDown="0" outline="0">
        <left/>
        <right/>
        <top style="thin">
          <color auto="1"/>
        </top>
        <bottom style="thin">
          <color auto="1"/>
        </bottom>
      </border>
      <protection locked="1" hidden="0"/>
    </dxf>
    <dxf>
      <font>
        <b/>
        <i val="0"/>
        <strike val="0"/>
        <condense val="0"/>
        <extend val="0"/>
        <outline val="0"/>
        <shadow val="0"/>
        <u val="none"/>
        <vertAlign val="baseline"/>
        <sz val="11"/>
        <color theme="1"/>
        <name val="Calibri"/>
        <scheme val="minor"/>
      </font>
      <border diagonalUp="0" diagonalDown="0" outline="0">
        <left style="thin">
          <color theme="2" tint="-9.9978637043366805E-2"/>
        </left>
        <right/>
        <top style="thin">
          <color auto="1"/>
        </top>
        <bottom style="thin">
          <color auto="1"/>
        </bottom>
      </border>
      <protection locked="1" hidden="0"/>
    </dxf>
    <dxf>
      <protection locked="1" hidden="0"/>
    </dxf>
    <dxf>
      <protection locked="1" hidden="0"/>
    </dxf>
    <dxf>
      <numFmt numFmtId="164" formatCode="0.0"/>
      <border diagonalUp="0" diagonalDown="0" outline="0">
        <left/>
        <right style="thin">
          <color indexed="64"/>
        </right>
        <top/>
        <bottom/>
      </border>
      <protection locked="1" hidden="0"/>
    </dxf>
    <dxf>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0" formatCode="General"/>
      <border diagonalUp="0" diagonalDown="0" outline="0">
        <left style="thin">
          <color indexed="64"/>
        </left>
        <right/>
        <top style="thin">
          <color indexed="64"/>
        </top>
        <bottom style="thin">
          <color indexed="64"/>
        </bottom>
      </border>
      <protection locked="1" hidden="0"/>
    </dxf>
    <dxf>
      <protection locked="1" hidden="0"/>
    </dxf>
    <dxf>
      <protection locked="1" hidden="0"/>
    </dxf>
  </dxfs>
  <tableStyles count="0" defaultTableStyle="TableStyleMedium2" defaultPivotStyle="PivotStyleLight16"/>
  <colors>
    <mruColors>
      <color rgb="FF000000"/>
      <color rgb="FF006600"/>
      <color rgb="FF0000FF"/>
      <color rgb="FFD60093"/>
      <color rgb="FFCC0000"/>
      <color rgb="FFFF9900"/>
      <color rgb="FF132F49"/>
      <color rgb="FF1F4E79"/>
      <color rgb="FF0033CC"/>
      <color rgb="FF35A1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514350</xdr:colOff>
      <xdr:row>490</xdr:row>
      <xdr:rowOff>19050</xdr:rowOff>
    </xdr:to>
    <xdr:pic>
      <xdr:nvPicPr>
        <xdr:cNvPr id="2" name="Picture 1" descr="Machine generated alternative text:&#10;or WISCONSIN &#10;WHITEWATER &#10;Academic Advisement Report &#10;For Nicholas Boles #1852909 prepared on 10/24/2014 &#10;page 1 of 7 &#10;Not Satisfied &#10;Not Satisfied &#10;Not Satisfied &#10;Not Satisfied &#10;Undergraduate Career &#10;Business &amp; Econ Undergr program &#10;Information Technology BBA Major &#10;Information Technology Emphasis &#10;Computer Science 2nd Major &#10;2013 Fall Term &#10;2014 Summer Term &#10;2014 Summer Term &#10;2014 Summer Term &#10;ADMISSION TO UPPER DIVISION BUSINESS COURSES MILESTONE: REQUIRES COMPLETION OF (OR &#10;I-A MINIMUM OF 120 UNITS. A UWW CUM GPA OF 2.00 &amp; FULFILLMENT OF ALL ACADEMIC REQUIREMENTS &#10;ARE REQUIRED TO GRADUATE. SOME PROGRAMS REQUIRE A GPA HIGHER THAN 2.00 AND/OR MORE THAN &#10;120 UNITS FOR ADMISSION. RETENTION &amp; GRADUATION. A COMBINED GPA MAY BE USED &#10;120 UNITS &#10;Units: 120.00 requ red, 59.00 actual (includes in progress), 61.00 needed &#10;UWAA/ GPA - (Any coursework prior to 1979 is not reflected in Cumu ative totals.) &#10;GPA: 2.000 required, 3.506 actual &#10;COMBINED GPA - (The Combined GPA reflects all and Transfer coursework. The Combined GPA for Transfer &#10;students prior to summer 2001 reflects only those transfer courses accepted for credit by UWW.) &#10;GPA: 2.000 required, 3.506 actual &#10;CURRENT ACADEMIC STANDING GOOD &#10;ll. DEVELOPMENTAL SKILLS &#10;1. ENGLISH 90 OR WAIVER &#10;units &#10;0.00 &#10;units &#10;units &#10;o.oo &#10;T.ypq &#10;T.ypg &#10;FUNDAMENTA S OF ENGL - WAIVER &#10;PRE • ALGEBRA • WAIVER &#10;BEGINNING ALGEBRA - WAIVER &#10;Fall 13 &#10;ENGLISH &#10;gow &#10;4 ow &#10;Numngr &#10;41W &#10;2. MATH 40 OR WAIVER &#10;Fall 13 &#10;MATH &#10;3. MATH 41 OR WAIVER &#10;Fall 13 &#10;MATH &#10;A. COMMUNICATION SKILLS (3 courses or waivers, must be completed Within first 60 units) &#10;1. ENGLISH 101 OR ENGLISH 105 "/>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829550" cy="1011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xdr:row>
      <xdr:rowOff>0</xdr:rowOff>
    </xdr:from>
    <xdr:to>
      <xdr:col>12</xdr:col>
      <xdr:colOff>514350</xdr:colOff>
      <xdr:row>490</xdr:row>
      <xdr:rowOff>19050</xdr:rowOff>
    </xdr:to>
    <xdr:pic>
      <xdr:nvPicPr>
        <xdr:cNvPr id="3" name="Picture 2" descr="Machine generated alternative text:&#10;or WISCONSIN &#10;WHITEWATER &#10;page 2 of 7 &#10;luge &#10;Fall 13 &#10;Number &#10;ENGLISH &#10;Course &#10;FRESHMAN ENGL SH &#10;Ogu.tsg &#10;FRESHMAN ENGL SH &#10;WA VER &#10;Gla4g &#10;Grade &#10;units &#10;3.00 &#10;units &#10;3.00 &#10;o. 00 &#10;2. ENGLISH 102 OR ENGLISH 105 &#10;Nutnngl &#10;Spring 14 &#10;ENGLISH &#10;3. COMM 110 &#10;Courses: I required. O actual ( ncludes in progress), I needed &#10;B. CALCULATION SKILLS &#10;1. MATH 140 OR MATH 141 &#10;Fa113 &#10;MATH &#10;Number &#10;41W INTERMED ATE ALGEBRA - &#10;IV. UNIVERSITY REQUIREMENTS (2117) &#10;Units: 32.00 required, 32.00 actual (includes in progress). 0.00 needed &#10;A. QUANTITATIVE &amp; TECHNICAL REASONING (7-11 UNITS DESIGNATED GM/GL): STUDENTS MUST TAKE AT &#10;LEAST ONE 4-5 UNIT LAB COURSE DESIGNATED GL AND AT LEAST 3 UNITS IN A SECOND SUBJECT AREA &#10;DESIGNATED GM OR GL TO COMPLETE THIS REQUIREMENT. &#10;Units: 7 ff required, 12.00 actua (includes in-progress) &#10;units &#10;4.00 &#10;units &#10;5.00 &#10;3.00 &#10;unlis &#10;3.00 &#10;un_ils &#10;3.00 &#10;BIOLOGY GL (LN0030) &#10;Number &#10;Spring 14 &#10;BIOLOGY &#10;GL/GM COURSES (LN0040) &#10;Course &#10;a OLOGICAL FOUNDATIONS &#10;course &#10;CALC/ANALYTIC GEOMETRY I -EXAM &#10;INTRODUCTION TO JAVA &#10;Course &#10;WORLD OF THE ARTS &#10;Fa113 &#10;Fa113 &#10;MATH &#10;COMPSCI &#10;Nutnngl &#10;253EX &#10;B. CULTURAL HERITAGES (6 UNITS) &#10;1. GENED 110 WORLD OF THE ARTS &#10;Winter 14 &#10;GENED &#10;Number &#10;110 &#10;Glade &#10;Grade &#10;luge &#10;2. GENED 390 WORLD OF IDEAS (REQUIRES JR STANDING) &#10;Units: 3ff required. 0.00 actual (includes in progress). 3.00 needed &#10;C. COMMUNITIES (6 UNITS) &#10;1. GENED 130 INDIVIDUAL AND SOC ETY &#10;13 &#10;GENED &#10;Number Course &#10;INDIVIDUAL AND SOCIETY "/>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096500"/>
          <a:ext cx="7829550" cy="1011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xdr:row>
      <xdr:rowOff>0</xdr:rowOff>
    </xdr:from>
    <xdr:to>
      <xdr:col>12</xdr:col>
      <xdr:colOff>514350</xdr:colOff>
      <xdr:row>490</xdr:row>
      <xdr:rowOff>19050</xdr:rowOff>
    </xdr:to>
    <xdr:pic>
      <xdr:nvPicPr>
        <xdr:cNvPr id="4" name="Picture 3" descr="Machine generated alternative text:&#10;or WISCONSIN &#10;WHITEWATER &#10;2. GENED 140 GLOBAL PERSPECTIVES OR GENED 120 HISTORICAL PERSPECTIVES &#10;page 3 of 7 &#10;Luge &#10;unils &#10;300 &#10;units &#10;1.00 &#10;13 &#10;GENED &#10;Number &#10;140 &#10;Course &#10;GLOBAL PERSPECTIVES &#10;Grade &#10;Grade &#10;D. PHYSICAL HEALTH &amp; WELL-BEING (1 UN T) &#10;1. PEGNRL 192 PERSONAL HEALTH AND FITNESS FOR LIFE &#10;Spring 14 &#10;PEGNRL &#10;Number &#10;192 &#10;Course &#10;PERS H TH &amp; F TNEss LIFE &#10;E. ELECTIVES (8-12 UNITS TO TOTAL 32 UNITS) 1. ADD TIONAL ELECT VES DESIGNATED GA. GE. GH. Gl. GP &#10;OR GS. NO MORE THAN 1 COURSE FROM ANY ONE SUBJECT AREA MAY BE COUNTED. EXCEPTION: TWO &#10;GP COURSES MAY BE USED FOR A MAXIMUM OF 1 UNIT OF GP ELECTIVES. &#10;Gladg &#10;Glade &#10;Grade &#10;unis &#10;3.00 &#10;3.00 &#10;1.00 &#10;3.00 &#10;ECON &#10;Spring 14 &#10;HISTRY &#10;Fal 13 &#10;INTRAUNV &#10;Fa113 &#10;PSYCH &#10;Fal 13 &#10;ECON &#10;ISTRY &#10;NTRAUNV &#10;201 &#10;125EX &#10;104 &#10;211 ex &#10;PR NCIPLES OF MICROECONOMICS &#10;HISTORY OF MODERN AMER - &#10;NEW STUDENT SEMINAR &#10;EXAM &#10;lung &#10;INTRODUCTORY PSYCH - &#10;EXAM &#10;v. U.S. RACIAL/ETHNIC DIVERSITY &#10;A. SELECT 1 COURSE, LABELED DIVERSITY IN THE SCHEDULE OF CLASSES, IN AFRICAN-AMERICAN, &#10;NATIVE AMERICAN, ASIAN-AMERICAN OR HISPANIC EXPERIENCE. (DOES NOT APPLY IF YOU ENROLLED AT &#10;A UW SYSTEM CAMPUS BEFORE FALL 1989.) &#10;Courses: I required, O actual (includes in progress). I needed &#10;A. COMMUNITY SERVICE: ALL BBA STUDENTS ARE REQUIRED TO COMPLETE 20 HOURS OF COMMUNITY &#10;SERVICE PRIOR TO GRADUATION &#10;B. INTERNATIONAL REQUIREMENT (ONE COURSE FROM THE FOLLOWING GROUPS): &#10;Courses: I required, O actual ( in progress), I needed &#10;1 . ALSO COUNT TOWARD GENERAL EDUCATION REQUIREMENTS - ANTHROPL 218; COMM 424; ENGLISH &#10;323; GEOGRPY 230; HISTRY 130, 131, 135, 337, 340, 342, 343, 346, 347, 352; INTRNAR 260; POLISCI 255; &#10;RELIGST 211, 212. 303; SOC OLGY 290. &#10;2. ALSO COUNT AS ELECTIVES- ASIANSTD 480, 488; BEINDP 200, ENGLISH 324; FRENCH 340, 350, "/>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0193000"/>
          <a:ext cx="7829550" cy="1011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159</xdr:row>
      <xdr:rowOff>0</xdr:rowOff>
    </xdr:from>
    <xdr:to>
      <xdr:col>12</xdr:col>
      <xdr:colOff>514350</xdr:colOff>
      <xdr:row>490</xdr:row>
      <xdr:rowOff>19050</xdr:rowOff>
    </xdr:to>
    <xdr:pic>
      <xdr:nvPicPr>
        <xdr:cNvPr id="5" name="Picture 4" descr="Machine generated alternative text:&#10;or WISCONSIN &#10;WHITEWATER &#10;page 4 of 7 &#10;GEOGRPY 336, 346, 362, 363, 364, 365, 368; GERMAN 350; HISTRY 338, 372, 377, 385, 386; INTRNAR 488, &#10;INTRNAR 494, 496; POLISC 340, 350, 351, 352, 456, 460, 461, 463, 471, 472; RELIGST 304; SOCIOLGY 336, 350, &#10;385: SPANISH 350, 360: ANY COURSE NUMBERED 491 OR 497 FROM ANY DEPARTMENT. &#10;3. ADMISSION TO UPPER DIVIS ON REQUIRED - (COUNT IN MAJOR, IF APPLICABLE), ECON 359, 360, 401 , &#10;406, 431; FNBSLW 410, 491; MANGEMNT 410, 465, 491; MARKETNG 361 &#10;C. DEGREE - UNIQUE REQUIREMENTS (2137) &#10;*MATH 143 WAIVER - STUDENT COMPLE ED MATH 243, 250, 253 ORAN EQUIVALENT COURSE &#10;Fa113 &#10;Pal 13 &#10;MATH &#10;MATH &#10;Number &#10;152W &#10;253EX &#10;ELEMENTARY FUNCTIONS &#10;CALC/ANALYTIC GEOMETRY I -EXAM &#10;Grade &#10;units &#10;o. 00 &#10;5.00 &#10;3.00 &#10;2. ECON 201 AND 202 &#10;Units: 6M) required. 3.00 actual (includes in progress). 3.00 needed &#10;Spring 14 &#10;ECON &#10;Nun:bgr &#10;201 &#10;PR NCIPLES OF MICROECONOMICS &#10;D. LOWER DIV SION BUSINESS COURSES WHICH REQUIRE 24 UNITS AND A 2.50 COMBINED GPA &#10;(COMPLETE PRIOR TO ADMISSION TO UPPER DIVISION): &#10;1. ACCOUNT 244 &#10;units &#10;3.00 &#10;INTRO TO FINANCIAL ACCOUNTING &#10;.T.ypg &#10;luge &#10;Fall 14 &#10;ACCOUNT &#10;2. ACCOUNT 249 (RECOMMENDED) OR ACCOUNT 261 (DESIGNED FOR ACCOUNTING MAJORS) &#10;Units: 3.00 required, 000 actual ( ncludes n progress), 3,00 needed &#10;3. ECON 245 &#10;Grade &#10;Grade &#10;unils &#10;3.00 &#10;unils &#10;3, 00 &#10;Fal 14 &#10;ECON &#10;Number &#10;245 &#10;Number &#10;Course &#10;BUSINESS STAT STICS &#10;Course &#10;INTRO INFORMATION SYSTEMS &#10;4. ITSCM 280 &#10;Fal 14 &#10;ITSCM &#10;E. UNIQUE REQUIREMENTS FOR MAJOR (2137) -THESE REQUIREMENTS APPLY TO THE BUSINESS &#10;ANALYSIS, INFO TECH, AND NETWORK SECURITY EMPHASES &#10;1. COMPSCI 171, 172, OR 174 &#10;Grade &#10;unils &#10;3.00 &#10;Fa113 &#10;COMPSCI &#10;Number Course &#10;INTRODUCTION TO JAVA &#10;F. UPPER DIVISION COURSEWORK (MUST COMPLETE Ill, WC, WD, EARN A 2.80 GPA, AND 54 UNITS PRIOR &#10;TO ADMISSION): &#10;1 . JUNIOR LEVEL COURSEWORK: FNBSLW 341, 344; ITBE 353, 388; ITSCM 306; MANGEMNT 301; &#10;MARKETNG 311 (COMPLETE PRIOR TO 90 UNITS, IF POSSIBLE.) "/>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0289500"/>
          <a:ext cx="7829550" cy="1011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212</xdr:row>
      <xdr:rowOff>0</xdr:rowOff>
    </xdr:from>
    <xdr:to>
      <xdr:col>12</xdr:col>
      <xdr:colOff>514350</xdr:colOff>
      <xdr:row>490</xdr:row>
      <xdr:rowOff>19050</xdr:rowOff>
    </xdr:to>
    <xdr:pic>
      <xdr:nvPicPr>
        <xdr:cNvPr id="6" name="Picture 5" descr="Machine generated alternative text:&#10;or WISCONSIN &#10;WHITEWATER &#10;Courses: 7 requ'red, O actual (includes in progress). 7 needed &#10;page 5 of 7 &#10;2. SENIOR CAPSTONE COURSE (REQUIRES SENIOR STANDING AND PRIOR COMPLETION OF COMMUNITY &#10;SERVICE REQUIREMENT AND ALL COURSES IN Fl, EXCEPT ITBE 388): MANGEMNT 489 &#10;Courses: I required, O actual ( ncludes in progress), I needed &#10;Units: 24,00 required, 3.00 actua (includes in progress), 21.00 needed &#10;GPA: 2.500 required, 3.670 actual &#10;1. ITSCM 221, ITSCM 285, ITSCM 385, ITSCM 451 &#10;Units: 12,00 required, 3.00 actua (includes in progress), 9.00 needed &#10;Grade &#10;units &#10;3, 00 &#10;unlis &#10;3.00 &#10;3.00 &#10;3.00 &#10;3.00 &#10;3.00 &#10;3.00 &#10;Iyae &#10;14 &#10;TSCM &#10;Number Course &#10;IT INFRASTRUCTURE &#10;2. SELECT 12 UNITS FROM COURSES: ITSCM 314, 320, 331, 332, 380, 452, 485, 493, 495 &#10;Units: 12.00 required 0.00 actua (includes in progress), 12.00 needed &#10;X. BBA DISTRIBUTIONAL REQUIREMENTS &#10;A. ELECTIVE BUSINESS COURSES AND BUSINESS GPA &#10;COURSES TAKEN: &#10;GPA: 2.500 requred 3.890 actual &#10;Glade &#10;Course &#10;CONCEPTS OF BUSINESS &#10;PRINCIPLES OF MICROECONOMICS &#10;IT INFRASTRUCTURE &#10;INTRO TO FINANCIAL ACCOUNTING &#10;BUSINESS STAT STICS &#10;INTRO INFORMATION SYSTEMS &#10;Fall 13 &#10;Spring 14 &#10;Spring 14 &#10;Fall 14 &#10;Fal 14 &#10;Fal 14 &#10;ITBE &#10;ECON &#10;scM &#10;ACCOUNT &#10;ECON &#10;TSCM &#10;Number &#10;201 &#10;221 &#10;244 &#10;B. ALL BBA STUDENTS MUST TAKE AT LEAST 60 UNITS OUTSIDE THE COLLEGE OF BUSINESS AND &#10;ECONOMICS. STUDENTS MAY COUNT A MAXIMUM OF 12 UNITS OF ECONOMICS TOWARD THIS 60 UNIT &#10;REQUIREMENT. &#10;Units: 60.00 required, 47.00 actual (includes in progress), 13.00 needed &#10;1. UNITS OUTSIDE COLLEGE: &#10;Grade &#10;3, 00 &#10;5.00 &#10;3.00 &#10;3.00 &#10;3.00 &#10;3.00 &#10;3.00 &#10;3.00 &#10;luge &#10;Course &#10;HISTORY OF MODERN AMER - EXAM &#10;CALC-ANALYTIC GEOMETRY I -EXAM &#10;INTRODUCTORY PSYCH - EXAM &#10;INTRODUCTION TO JAVA &#10;FRESHMAN ENGL SH &#10;INDIVIDUAL AND SOCIETY &#10;G OBAL PERSPECTIVES &#10;NEW STUDENT SEMINAR &#10;WORLD OF THE ARTS &#10;Fa113 &#10;Fa113 &#10;Pal 13 &#10;Fa113 &#10;Fa113 &#10;Fa113 &#10;Fa113 &#10;Fa113 &#10;Winter 14 &#10;HISTRY &#10;MATH &#10;PSYCH &#10;COMPSC &#10;ENGLISH &#10;GENED &#10;GENED &#10;NTRAuNv &#10;GENED &#10;Number &#10;125EX &#10;253EX &#10;211 EX &#10;140 &#10;104 &#10;110 "/>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40386000"/>
          <a:ext cx="7829550" cy="1011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265</xdr:row>
      <xdr:rowOff>0</xdr:rowOff>
    </xdr:from>
    <xdr:to>
      <xdr:col>12</xdr:col>
      <xdr:colOff>514350</xdr:colOff>
      <xdr:row>490</xdr:row>
      <xdr:rowOff>19050</xdr:rowOff>
    </xdr:to>
    <xdr:pic>
      <xdr:nvPicPr>
        <xdr:cNvPr id="7" name="Picture 6" descr="Machine generated alternative text:&#10;or WISCONSIN &#10;WHITEWATER &#10;192 &#10;Number &#10;201 &#10;245 &#10;a OLOGICAL FOUNDATIONS &#10;FRESHMAN ENGL SH &#10;PERS &amp; F TNESS LIFE &#10;CONCEPTS OF PROGRAMMING &#10;DISCRETE MATHEMAT CS &#10;Cnå.llse &#10;PR NCIPI_ES OF MICROECONOMICS &#10;BUSINESS STAT STICS &#10;Grade &#10;Grade &#10;Glade &#10;page 6 of 7 &#10;luge &#10;Iyae &#10;4.00 &#10;3.00 &#10;1.00 &#10;3.00 &#10;3.00 &#10;units &#10;3, 00 &#10;3.00 &#10;units &#10;5.00 &#10;3, 00 &#10;unis &#10;3.00 &#10;Spring 14 &#10;Spring 14 &#10;Spring 14 &#10;Fal 14 &#10;14 &#10;BIOLOGY &#10;ENGLISH &#10;PEGNRL &#10;COMPSCI &#10;MATH &#10;2. ECONOMICS COURSES &#10;14 &#10;14 &#10;ECON &#10;ECON &#10;UNIQUE REQUIREMENTS: COMPUTER SCIENCE MAJOR &#10;1. MATH 253 AND MATH 280 &#10;Course &#10;CALC'ANALYT C GEOMETRY I -EXAM &#10;DISCRETE MATHEMAT CS &#10;13 &#10;14 &#10;MATH &#10;MATH &#10;Number &#10;253EX &#10;COMPUTER SCIENCE MAJOR (2127) &#10;Units: 3600 required. 3.00 actua (includes in progress), 33.00 needed &#10;GPA: 2.000 required 0.000 actual &#10;1. COMPSCI 172 OR 174 &#10;Units: 3ff required. 0.00 actual (includes progress). 3.00 needed &#10;2. MCS 220 OR COMPSCI 222 &#10;Fal 14 &#10;COMPSCI &#10;CONCEPTS OF PROGRAMMING &#10;3. COMPSCI 223, COMPSCI 271, COMPSCI 412, COMPSCI 433, COMPSCI 476 &#10;Units: 15 00 required, 0.00 actua (includes in progress), 15.00 needed &#10;4. SELECT ANY COMPSCI COURSE NUMBERED 300 OR ABOVE &#10;Units: 3M) required. 0.00 actual (includes in progress). 3.00 needed &#10;5. COMPLETE TWO AREAS OF SPECIALIZATION &#10;Units: 12.00 required, 0.00 actua (includes in progress), 12_00 needed &#10;A. SYSTEM PROGRAMMING: COMPSCI 322, COMPSCI 424 &#10;B. CONCEPTUAL COMPUTER SCIENCE, COMPSCI 332, COMPSCI 434 &#10;C. WEB TECHNIQUES: COMPSC 381, COMPSCI 382 &#10;D. APPLIED COMPUTING: COMPSCI 451 , MATH 471 &#10;WRmNG REQUIREMENT "/>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50482500"/>
          <a:ext cx="7829550" cy="1011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9525</xdr:colOff>
      <xdr:row>318</xdr:row>
      <xdr:rowOff>19050</xdr:rowOff>
    </xdr:from>
    <xdr:to>
      <xdr:col>12</xdr:col>
      <xdr:colOff>523875</xdr:colOff>
      <xdr:row>490</xdr:row>
      <xdr:rowOff>19050</xdr:rowOff>
    </xdr:to>
    <xdr:pic>
      <xdr:nvPicPr>
        <xdr:cNvPr id="8" name="Picture 7" descr="Machine generated alternative text:&#10;or WISCONSIN &#10;WHITEWATER &#10;1. ENGLISH 370 OR ENGLISH 372 &#10;Units: required, actual ( progress), 3,00 needed &#10;Course History &#10;Glade &#10;A &#10;In tR &#10;-T-aEgn &#10;0.00 &#10;0.00 &#10;3.00 &#10;0.00 &#10;0.00 &#10;0.00 &#10;000 &#10;o,oo &#10;0 00 &#10;3.00 &#10;3.00 &#10;3.00 &#10;3.00 &#10;3.00 &#10;1.00 &#10;3.00 &#10;3.00 &#10;d 00 &#10;3,00 &#10;3,00 &#10;3.00 &#10;3.00 &#10;page 7 of 7 &#10;eAnB &#10;0.000 &#10;0.000 &#10;9.000 &#10;0.000 &#10;0.000 &#10;0.000 &#10;0.000 &#10;0.000 &#10;0.000 &#10;0.000 &#10;0.000 &#10;0.000 &#10;0.000 &#10;15.000 &#10;g.aoo &#10;12.000 &#10;9.000 &#10;9.000 &#10;9.000 &#10;4.000 &#10;12.000 &#10;12.000 &#10;12.000 &#10;12.000 &#10;11.0 0 &#10;11.010 &#10;2670 &#10;0.000 &#10;0.000 &#10;0.000 &#10;0.000 &#10;0.000 &#10;TE &#10;gow &#10;gow &#10;125EX &#10;40W &#10;40W &#10;40W &#10;41W &#10;41W &#10;41W &#10;141W &#10;141W &#10;141W &#10;152W &#10;253EX &#10;21 TEX &#10;172 &#10;101 &#10;130 &#10;140 &#10;104 &#10;141 &#10;120 &#10;201 &#10;102 &#10;221 &#10;192 &#10;244 &#10;220 &#10;245 &#10;280 &#10;280 &#10;FUNDAMENTALS OF ENGL - WAIVER &#10;FUNDAMENTALS OF ENGL - WAIVER &#10;HISTORY OF MODERN AMER - EXAM &#10;PRE _ ALGEBRA - WAIVER &#10;PRE _ ALGEBRA - WAIVER &#10;p RE _ ALGEBRA WAIVER &#10;BEGINNING ALGEBRA - WAIVER &#10;BEGINNING ALGEBRA WAIVER &#10;BEGINNING ALGEBRA - WAIVER &#10;INTERMEDIATE ALGEBRA - WAIVER &#10;INTERMEDIATE ALGEBRA - WAIVER &#10;INTERMEDIATE ALGEBRA - WAIVER &#10;E EMENTARY FUNCTIONS &#10;CA C,'ANALYTIC GEOMETRY I -EXAM &#10;INTRODUCTORY PSYCH - EXAM &#10;INTRODUCTION TO JAVA &#10;FRESHMAN ENGL SH &#10;IND VIDUAL AND SOCIETY &#10;GLOBAL PERSPECT ves &#10;NEW STUDENT SEMINAR &#10;CONCEPTS OF BUSINESS &#10;WORLD OF THE ARTS &#10;BIOLOGICAL FOUNDATIONS &#10;PRINCIPLES OF MICROECONOMICS &#10;FRESHMAN ENGL SH &#10;IT INFRASTRUCTURE &#10;PERS HLTH &amp; FITNESS LIFE &#10;INTRO TO FINANC AL ACCOUNTING &#10;CONCEPTS OF PROGRAMMING &#10;BUSINESS STAT STICS &#10;INTRO INFORMAT ON SYSTEMS &#10;DISCRETE MATHEMATICS &#10;Fall &#10;Fall &#10;Fall &#10;Fall &#10;Fall &#10;Fall &#10;Fall &#10;Fall &#10;Fall &#10;Fall &#10;Fall &#10;Fall &#10;Fall &#10;Fall &#10;Fall &#10;Fall &#10;Fall &#10;Fall &#10;Fall &#10;Fall &#10;Fall &#10;13 &#10;13 &#10;13 &#10;13 &#10;13 &#10;13 &#10;13 &#10;13 &#10;13 &#10;13 &#10;13 &#10;13 &#10;13 &#10;13 &#10;ENGLISH &#10;ENGLISH &#10;MATH &#10;MATH &#10;MATH &#10;MATH &#10;MATH &#10;MATH &#10;MATH &#10;MATH &#10;MATH &#10;MATH &#10;MATH &#10;PSYCH &#10;COMPSCI &#10;ENGLISH &#10;GENEO &#10;GENED &#10;INTRAUNV &#10;ITBE &#10;GENED &#10;B OLOGY &#10;ECON &#10;ENGLISH &#10;ITSCM &#10;PEGNRL &#10;ACCOUNT &#10;COMPSCI &#10;ECON &#10;ITsCM &#10;MATH &#10;G EGH &#10;GEGM &#10;GEGS &#10;GECM &#10;GEGS &#10;G EGS &#10;G EGI &#10;GEGA &#10;GEGL &#10;GEGS &#10;GEGP &#10;Winter 14 &#10;Spring 14 &#10;Spring 14 &#10;Spring 14 &#10;Spring 14 &#10;Spring 14 &#10;Fall &#10;Fall &#10;Fall &#10;Fall &#10;Fall &#10;14 "/>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25" y="60598050"/>
          <a:ext cx="7829550" cy="1011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164623</xdr:rowOff>
    </xdr:from>
    <xdr:ext cx="10020781" cy="11306676"/>
    <xdr:pic>
      <xdr:nvPicPr>
        <xdr:cNvPr id="2" name="Picture 1"/>
        <xdr:cNvPicPr>
          <a:picLocks noChangeAspect="1"/>
        </xdr:cNvPicPr>
      </xdr:nvPicPr>
      <xdr:blipFill rotWithShape="1">
        <a:blip xmlns:r="http://schemas.openxmlformats.org/officeDocument/2006/relationships" r:embed="rId1"/>
        <a:srcRect l="13058" t="11921" r="9362" b="20042"/>
        <a:stretch/>
      </xdr:blipFill>
      <xdr:spPr>
        <a:xfrm>
          <a:off x="0" y="164623"/>
          <a:ext cx="10020781" cy="11306676"/>
        </a:xfrm>
        <a:prstGeom prst="rect">
          <a:avLst/>
        </a:prstGeom>
      </xdr:spPr>
    </xdr:pic>
    <xdr:clientData/>
  </xdr:oneCellAnchor>
  <xdr:oneCellAnchor>
    <xdr:from>
      <xdr:col>17</xdr:col>
      <xdr:colOff>270622</xdr:colOff>
      <xdr:row>0</xdr:row>
      <xdr:rowOff>148440</xdr:rowOff>
    </xdr:from>
    <xdr:ext cx="9028661" cy="11647284"/>
    <xdr:pic>
      <xdr:nvPicPr>
        <xdr:cNvPr id="3" name="Picture 2"/>
        <xdr:cNvPicPr>
          <a:picLocks noChangeAspect="1"/>
        </xdr:cNvPicPr>
      </xdr:nvPicPr>
      <xdr:blipFill rotWithShape="1">
        <a:blip xmlns:r="http://schemas.openxmlformats.org/officeDocument/2006/relationships" r:embed="rId2"/>
        <a:srcRect l="7354" t="7711" r="4224" b="4209"/>
        <a:stretch/>
      </xdr:blipFill>
      <xdr:spPr>
        <a:xfrm>
          <a:off x="10633822" y="148440"/>
          <a:ext cx="9028661" cy="11647284"/>
        </a:xfrm>
        <a:prstGeom prst="rect">
          <a:avLst/>
        </a:prstGeom>
      </xdr:spPr>
    </xdr:pic>
    <xdr:clientData/>
  </xdr:oneCellAnchor>
  <xdr:oneCellAnchor>
    <xdr:from>
      <xdr:col>35</xdr:col>
      <xdr:colOff>145190</xdr:colOff>
      <xdr:row>0</xdr:row>
      <xdr:rowOff>0</xdr:rowOff>
    </xdr:from>
    <xdr:ext cx="10533525" cy="12065825"/>
    <xdr:pic>
      <xdr:nvPicPr>
        <xdr:cNvPr id="4" name="Picture 3"/>
        <xdr:cNvPicPr>
          <a:picLocks noChangeAspect="1"/>
        </xdr:cNvPicPr>
      </xdr:nvPicPr>
      <xdr:blipFill rotWithShape="1">
        <a:blip xmlns:r="http://schemas.openxmlformats.org/officeDocument/2006/relationships" r:embed="rId3"/>
        <a:srcRect l="5252" t="7306" r="6151" b="13950"/>
        <a:stretch/>
      </xdr:blipFill>
      <xdr:spPr>
        <a:xfrm>
          <a:off x="21481190" y="0"/>
          <a:ext cx="10533525" cy="12065825"/>
        </a:xfrm>
        <a:prstGeom prst="rect">
          <a:avLst/>
        </a:prstGeom>
      </xdr:spPr>
    </xdr:pic>
    <xdr:clientData/>
  </xdr:oneCellAnchor>
  <xdr:twoCellAnchor>
    <xdr:from>
      <xdr:col>0</xdr:col>
      <xdr:colOff>129110</xdr:colOff>
      <xdr:row>24</xdr:row>
      <xdr:rowOff>121226</xdr:rowOff>
    </xdr:from>
    <xdr:to>
      <xdr:col>5</xdr:col>
      <xdr:colOff>6644</xdr:colOff>
      <xdr:row>25</xdr:row>
      <xdr:rowOff>134834</xdr:rowOff>
    </xdr:to>
    <xdr:sp macro="" textlink="">
      <xdr:nvSpPr>
        <xdr:cNvPr id="5" name="Rectangle 4"/>
        <xdr:cNvSpPr/>
      </xdr:nvSpPr>
      <xdr:spPr>
        <a:xfrm>
          <a:off x="129110" y="4693226"/>
          <a:ext cx="2925534" cy="204108"/>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118225</xdr:colOff>
      <xdr:row>27</xdr:row>
      <xdr:rowOff>137555</xdr:rowOff>
    </xdr:from>
    <xdr:to>
      <xdr:col>7</xdr:col>
      <xdr:colOff>420302</xdr:colOff>
      <xdr:row>28</xdr:row>
      <xdr:rowOff>148440</xdr:rowOff>
    </xdr:to>
    <xdr:sp macro="" textlink="">
      <xdr:nvSpPr>
        <xdr:cNvPr id="6" name="Rectangle 5"/>
        <xdr:cNvSpPr/>
      </xdr:nvSpPr>
      <xdr:spPr>
        <a:xfrm>
          <a:off x="118225" y="5281055"/>
          <a:ext cx="456927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77155</xdr:colOff>
      <xdr:row>25</xdr:row>
      <xdr:rowOff>143986</xdr:rowOff>
    </xdr:from>
    <xdr:to>
      <xdr:col>15</xdr:col>
      <xdr:colOff>172405</xdr:colOff>
      <xdr:row>26</xdr:row>
      <xdr:rowOff>165757</xdr:rowOff>
    </xdr:to>
    <xdr:sp macro="" textlink="">
      <xdr:nvSpPr>
        <xdr:cNvPr id="7" name="Rectangle 6"/>
        <xdr:cNvSpPr/>
      </xdr:nvSpPr>
      <xdr:spPr>
        <a:xfrm>
          <a:off x="4953955" y="4906486"/>
          <a:ext cx="4362450" cy="212271"/>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118224</xdr:colOff>
      <xdr:row>35</xdr:row>
      <xdr:rowOff>92280</xdr:rowOff>
    </xdr:from>
    <xdr:to>
      <xdr:col>15</xdr:col>
      <xdr:colOff>374038</xdr:colOff>
      <xdr:row>36</xdr:row>
      <xdr:rowOff>84115</xdr:rowOff>
    </xdr:to>
    <xdr:sp macro="" textlink="">
      <xdr:nvSpPr>
        <xdr:cNvPr id="8" name="Rectangle 7"/>
        <xdr:cNvSpPr/>
      </xdr:nvSpPr>
      <xdr:spPr>
        <a:xfrm>
          <a:off x="4995024" y="6759780"/>
          <a:ext cx="4523014" cy="18233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191455</xdr:colOff>
      <xdr:row>27</xdr:row>
      <xdr:rowOff>135823</xdr:rowOff>
    </xdr:from>
    <xdr:to>
      <xdr:col>12</xdr:col>
      <xdr:colOff>528170</xdr:colOff>
      <xdr:row>28</xdr:row>
      <xdr:rowOff>152151</xdr:rowOff>
    </xdr:to>
    <xdr:sp macro="" textlink="">
      <xdr:nvSpPr>
        <xdr:cNvPr id="9" name="Rectangle 8"/>
        <xdr:cNvSpPr/>
      </xdr:nvSpPr>
      <xdr:spPr>
        <a:xfrm>
          <a:off x="5068255" y="5279323"/>
          <a:ext cx="2775115" cy="206828"/>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101895</xdr:colOff>
      <xdr:row>26</xdr:row>
      <xdr:rowOff>25976</xdr:rowOff>
    </xdr:from>
    <xdr:to>
      <xdr:col>6</xdr:col>
      <xdr:colOff>244769</xdr:colOff>
      <xdr:row>26</xdr:row>
      <xdr:rowOff>25976</xdr:rowOff>
    </xdr:to>
    <xdr:cxnSp macro="">
      <xdr:nvCxnSpPr>
        <xdr:cNvPr id="10" name="Straight Connector 9"/>
        <xdr:cNvCxnSpPr/>
      </xdr:nvCxnSpPr>
      <xdr:spPr>
        <a:xfrm>
          <a:off x="101895" y="4978976"/>
          <a:ext cx="3800474"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145350</xdr:colOff>
      <xdr:row>28</xdr:row>
      <xdr:rowOff>158809</xdr:rowOff>
    </xdr:from>
    <xdr:to>
      <xdr:col>12</xdr:col>
      <xdr:colOff>473742</xdr:colOff>
      <xdr:row>29</xdr:row>
      <xdr:rowOff>179365</xdr:rowOff>
    </xdr:to>
    <xdr:sp macro="" textlink="">
      <xdr:nvSpPr>
        <xdr:cNvPr id="11" name="Rectangle 10"/>
        <xdr:cNvSpPr/>
      </xdr:nvSpPr>
      <xdr:spPr>
        <a:xfrm>
          <a:off x="5022150" y="5492809"/>
          <a:ext cx="2766792" cy="211056"/>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110060</xdr:colOff>
      <xdr:row>36</xdr:row>
      <xdr:rowOff>74962</xdr:rowOff>
    </xdr:from>
    <xdr:to>
      <xdr:col>5</xdr:col>
      <xdr:colOff>387644</xdr:colOff>
      <xdr:row>37</xdr:row>
      <xdr:rowOff>66797</xdr:rowOff>
    </xdr:to>
    <xdr:sp macro="" textlink="">
      <xdr:nvSpPr>
        <xdr:cNvPr id="12" name="Rectangle 11"/>
        <xdr:cNvSpPr/>
      </xdr:nvSpPr>
      <xdr:spPr>
        <a:xfrm>
          <a:off x="110060" y="6932962"/>
          <a:ext cx="3325584" cy="18233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117976</xdr:colOff>
      <xdr:row>24</xdr:row>
      <xdr:rowOff>157593</xdr:rowOff>
    </xdr:from>
    <xdr:to>
      <xdr:col>15</xdr:col>
      <xdr:colOff>134303</xdr:colOff>
      <xdr:row>25</xdr:row>
      <xdr:rowOff>168478</xdr:rowOff>
    </xdr:to>
    <xdr:sp macro="" textlink="">
      <xdr:nvSpPr>
        <xdr:cNvPr id="13" name="Rectangle 12"/>
        <xdr:cNvSpPr/>
      </xdr:nvSpPr>
      <xdr:spPr>
        <a:xfrm>
          <a:off x="4994776" y="4729593"/>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104617</xdr:colOff>
      <xdr:row>27</xdr:row>
      <xdr:rowOff>55911</xdr:rowOff>
    </xdr:from>
    <xdr:to>
      <xdr:col>6</xdr:col>
      <xdr:colOff>257016</xdr:colOff>
      <xdr:row>27</xdr:row>
      <xdr:rowOff>55911</xdr:rowOff>
    </xdr:to>
    <xdr:cxnSp macro="">
      <xdr:nvCxnSpPr>
        <xdr:cNvPr id="14" name="Straight Connector 13"/>
        <xdr:cNvCxnSpPr/>
      </xdr:nvCxnSpPr>
      <xdr:spPr>
        <a:xfrm>
          <a:off x="104617" y="5199411"/>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104370</xdr:colOff>
      <xdr:row>27</xdr:row>
      <xdr:rowOff>75950</xdr:rowOff>
    </xdr:from>
    <xdr:to>
      <xdr:col>13</xdr:col>
      <xdr:colOff>577156</xdr:colOff>
      <xdr:row>27</xdr:row>
      <xdr:rowOff>75950</xdr:rowOff>
    </xdr:to>
    <xdr:cxnSp macro="">
      <xdr:nvCxnSpPr>
        <xdr:cNvPr id="15" name="Straight Connector 14"/>
        <xdr:cNvCxnSpPr/>
      </xdr:nvCxnSpPr>
      <xdr:spPr>
        <a:xfrm>
          <a:off x="4981170" y="5219450"/>
          <a:ext cx="3520786"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175128</xdr:colOff>
      <xdr:row>45</xdr:row>
      <xdr:rowOff>126915</xdr:rowOff>
    </xdr:from>
    <xdr:to>
      <xdr:col>14</xdr:col>
      <xdr:colOff>41778</xdr:colOff>
      <xdr:row>45</xdr:row>
      <xdr:rowOff>126915</xdr:rowOff>
    </xdr:to>
    <xdr:cxnSp macro="">
      <xdr:nvCxnSpPr>
        <xdr:cNvPr id="16" name="Straight Connector 15"/>
        <xdr:cNvCxnSpPr/>
      </xdr:nvCxnSpPr>
      <xdr:spPr>
        <a:xfrm>
          <a:off x="5051928" y="8699415"/>
          <a:ext cx="352425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112782</xdr:colOff>
      <xdr:row>46</xdr:row>
      <xdr:rowOff>153140</xdr:rowOff>
    </xdr:from>
    <xdr:to>
      <xdr:col>6</xdr:col>
      <xdr:colOff>265181</xdr:colOff>
      <xdr:row>46</xdr:row>
      <xdr:rowOff>153140</xdr:rowOff>
    </xdr:to>
    <xdr:cxnSp macro="">
      <xdr:nvCxnSpPr>
        <xdr:cNvPr id="17" name="Straight Connector 16"/>
        <xdr:cNvCxnSpPr/>
      </xdr:nvCxnSpPr>
      <xdr:spPr>
        <a:xfrm>
          <a:off x="112782" y="8916140"/>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132328</xdr:colOff>
      <xdr:row>46</xdr:row>
      <xdr:rowOff>142254</xdr:rowOff>
    </xdr:from>
    <xdr:to>
      <xdr:col>13</xdr:col>
      <xdr:colOff>605114</xdr:colOff>
      <xdr:row>46</xdr:row>
      <xdr:rowOff>142254</xdr:rowOff>
    </xdr:to>
    <xdr:cxnSp macro="">
      <xdr:nvCxnSpPr>
        <xdr:cNvPr id="18" name="Straight Connector 17"/>
        <xdr:cNvCxnSpPr/>
      </xdr:nvCxnSpPr>
      <xdr:spPr>
        <a:xfrm>
          <a:off x="5009128" y="8905254"/>
          <a:ext cx="3520786"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188735</xdr:colOff>
      <xdr:row>37</xdr:row>
      <xdr:rowOff>173921</xdr:rowOff>
    </xdr:from>
    <xdr:to>
      <xdr:col>14</xdr:col>
      <xdr:colOff>55385</xdr:colOff>
      <xdr:row>37</xdr:row>
      <xdr:rowOff>173921</xdr:rowOff>
    </xdr:to>
    <xdr:cxnSp macro="">
      <xdr:nvCxnSpPr>
        <xdr:cNvPr id="19" name="Straight Connector 18"/>
        <xdr:cNvCxnSpPr/>
      </xdr:nvCxnSpPr>
      <xdr:spPr>
        <a:xfrm>
          <a:off x="5065535" y="7222421"/>
          <a:ext cx="352425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126389</xdr:colOff>
      <xdr:row>37</xdr:row>
      <xdr:rowOff>172933</xdr:rowOff>
    </xdr:from>
    <xdr:to>
      <xdr:col>6</xdr:col>
      <xdr:colOff>278788</xdr:colOff>
      <xdr:row>37</xdr:row>
      <xdr:rowOff>172933</xdr:rowOff>
    </xdr:to>
    <xdr:cxnSp macro="">
      <xdr:nvCxnSpPr>
        <xdr:cNvPr id="20" name="Straight Connector 19"/>
        <xdr:cNvCxnSpPr/>
      </xdr:nvCxnSpPr>
      <xdr:spPr>
        <a:xfrm>
          <a:off x="126389" y="7221433"/>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88288</xdr:colOff>
      <xdr:row>33</xdr:row>
      <xdr:rowOff>25976</xdr:rowOff>
    </xdr:from>
    <xdr:to>
      <xdr:col>8</xdr:col>
      <xdr:colOff>69237</xdr:colOff>
      <xdr:row>34</xdr:row>
      <xdr:rowOff>39583</xdr:rowOff>
    </xdr:to>
    <xdr:sp macro="" textlink="">
      <xdr:nvSpPr>
        <xdr:cNvPr id="21" name="Rectangle 20"/>
        <xdr:cNvSpPr/>
      </xdr:nvSpPr>
      <xdr:spPr>
        <a:xfrm>
          <a:off x="88288" y="6312476"/>
          <a:ext cx="4857749" cy="204107"/>
        </a:xfrm>
        <a:prstGeom prst="rect">
          <a:avLst/>
        </a:prstGeom>
        <a:solidFill>
          <a:srgbClr val="132F49">
            <a:alpha val="29804"/>
          </a:srgbClr>
        </a:soli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50188</xdr:colOff>
      <xdr:row>35</xdr:row>
      <xdr:rowOff>55911</xdr:rowOff>
    </xdr:from>
    <xdr:to>
      <xdr:col>8</xdr:col>
      <xdr:colOff>31137</xdr:colOff>
      <xdr:row>36</xdr:row>
      <xdr:rowOff>69518</xdr:rowOff>
    </xdr:to>
    <xdr:sp macro="" textlink="">
      <xdr:nvSpPr>
        <xdr:cNvPr id="22" name="Rectangle 21"/>
        <xdr:cNvSpPr/>
      </xdr:nvSpPr>
      <xdr:spPr>
        <a:xfrm>
          <a:off x="50188" y="6723411"/>
          <a:ext cx="4857749" cy="204107"/>
        </a:xfrm>
        <a:prstGeom prst="rect">
          <a:avLst/>
        </a:prstGeom>
        <a:solidFill>
          <a:srgbClr val="132F49">
            <a:alpha val="29804"/>
          </a:srgbClr>
        </a:soli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194175</xdr:colOff>
      <xdr:row>10</xdr:row>
      <xdr:rowOff>147203</xdr:rowOff>
    </xdr:from>
    <xdr:to>
      <xdr:col>31</xdr:col>
      <xdr:colOff>483215</xdr:colOff>
      <xdr:row>12</xdr:row>
      <xdr:rowOff>14770</xdr:rowOff>
    </xdr:to>
    <xdr:sp macro="" textlink="">
      <xdr:nvSpPr>
        <xdr:cNvPr id="23" name="Rectangle 22"/>
        <xdr:cNvSpPr/>
      </xdr:nvSpPr>
      <xdr:spPr>
        <a:xfrm>
          <a:off x="11166975" y="2052203"/>
          <a:ext cx="8213840" cy="248567"/>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263448</xdr:colOff>
      <xdr:row>12</xdr:row>
      <xdr:rowOff>77931</xdr:rowOff>
    </xdr:from>
    <xdr:to>
      <xdr:col>24</xdr:col>
      <xdr:colOff>183291</xdr:colOff>
      <xdr:row>12</xdr:row>
      <xdr:rowOff>77931</xdr:rowOff>
    </xdr:to>
    <xdr:cxnSp macro="">
      <xdr:nvCxnSpPr>
        <xdr:cNvPr id="24" name="Straight Connector 23"/>
        <xdr:cNvCxnSpPr/>
      </xdr:nvCxnSpPr>
      <xdr:spPr>
        <a:xfrm>
          <a:off x="11236248" y="2363931"/>
          <a:ext cx="3577443"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415848</xdr:colOff>
      <xdr:row>13</xdr:row>
      <xdr:rowOff>39831</xdr:rowOff>
    </xdr:from>
    <xdr:to>
      <xdr:col>24</xdr:col>
      <xdr:colOff>335691</xdr:colOff>
      <xdr:row>13</xdr:row>
      <xdr:rowOff>39831</xdr:rowOff>
    </xdr:to>
    <xdr:cxnSp macro="">
      <xdr:nvCxnSpPr>
        <xdr:cNvPr id="25" name="Straight Connector 24"/>
        <xdr:cNvCxnSpPr/>
      </xdr:nvCxnSpPr>
      <xdr:spPr>
        <a:xfrm>
          <a:off x="11388648" y="2516331"/>
          <a:ext cx="3577443"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260232</xdr:colOff>
      <xdr:row>14</xdr:row>
      <xdr:rowOff>69767</xdr:rowOff>
    </xdr:from>
    <xdr:to>
      <xdr:col>24</xdr:col>
      <xdr:colOff>194919</xdr:colOff>
      <xdr:row>14</xdr:row>
      <xdr:rowOff>69767</xdr:rowOff>
    </xdr:to>
    <xdr:cxnSp macro="">
      <xdr:nvCxnSpPr>
        <xdr:cNvPr id="26" name="Straight Connector 25"/>
        <xdr:cNvCxnSpPr/>
      </xdr:nvCxnSpPr>
      <xdr:spPr>
        <a:xfrm>
          <a:off x="11233032" y="2736767"/>
          <a:ext cx="3592287"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228812</xdr:colOff>
      <xdr:row>14</xdr:row>
      <xdr:rowOff>147203</xdr:rowOff>
    </xdr:from>
    <xdr:to>
      <xdr:col>24</xdr:col>
      <xdr:colOff>257657</xdr:colOff>
      <xdr:row>15</xdr:row>
      <xdr:rowOff>149240</xdr:rowOff>
    </xdr:to>
    <xdr:sp macro="" textlink="">
      <xdr:nvSpPr>
        <xdr:cNvPr id="27" name="Rectangle 26"/>
        <xdr:cNvSpPr/>
      </xdr:nvSpPr>
      <xdr:spPr>
        <a:xfrm>
          <a:off x="11201612" y="2814203"/>
          <a:ext cx="3686445" cy="192537"/>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176856</xdr:colOff>
      <xdr:row>15</xdr:row>
      <xdr:rowOff>147203</xdr:rowOff>
    </xdr:from>
    <xdr:to>
      <xdr:col>24</xdr:col>
      <xdr:colOff>257656</xdr:colOff>
      <xdr:row>16</xdr:row>
      <xdr:rowOff>160446</xdr:rowOff>
    </xdr:to>
    <xdr:sp macro="" textlink="">
      <xdr:nvSpPr>
        <xdr:cNvPr id="28" name="Rectangle 27"/>
        <xdr:cNvSpPr/>
      </xdr:nvSpPr>
      <xdr:spPr>
        <a:xfrm>
          <a:off x="11149656" y="3004703"/>
          <a:ext cx="3738400" cy="203743"/>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443471</xdr:colOff>
      <xdr:row>12</xdr:row>
      <xdr:rowOff>83023</xdr:rowOff>
    </xdr:from>
    <xdr:to>
      <xdr:col>28</xdr:col>
      <xdr:colOff>85247</xdr:colOff>
      <xdr:row>12</xdr:row>
      <xdr:rowOff>89950</xdr:rowOff>
    </xdr:to>
    <xdr:cxnSp macro="">
      <xdr:nvCxnSpPr>
        <xdr:cNvPr id="29" name="Straight Connector 28"/>
        <xdr:cNvCxnSpPr/>
      </xdr:nvCxnSpPr>
      <xdr:spPr>
        <a:xfrm flipV="1">
          <a:off x="15683471" y="2369023"/>
          <a:ext cx="1470576" cy="6927"/>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333244</xdr:colOff>
      <xdr:row>15</xdr:row>
      <xdr:rowOff>161059</xdr:rowOff>
    </xdr:from>
    <xdr:to>
      <xdr:col>31</xdr:col>
      <xdr:colOff>436353</xdr:colOff>
      <xdr:row>16</xdr:row>
      <xdr:rowOff>160447</xdr:rowOff>
    </xdr:to>
    <xdr:sp macro="" textlink="">
      <xdr:nvSpPr>
        <xdr:cNvPr id="30" name="Rectangle 29"/>
        <xdr:cNvSpPr/>
      </xdr:nvSpPr>
      <xdr:spPr>
        <a:xfrm>
          <a:off x="15573244" y="3018559"/>
          <a:ext cx="3760709" cy="189888"/>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374737</xdr:colOff>
      <xdr:row>20</xdr:row>
      <xdr:rowOff>52871</xdr:rowOff>
    </xdr:from>
    <xdr:to>
      <xdr:col>31</xdr:col>
      <xdr:colOff>516759</xdr:colOff>
      <xdr:row>20</xdr:row>
      <xdr:rowOff>66725</xdr:rowOff>
    </xdr:to>
    <xdr:cxnSp macro="">
      <xdr:nvCxnSpPr>
        <xdr:cNvPr id="31" name="Straight Connector 30"/>
        <xdr:cNvCxnSpPr/>
      </xdr:nvCxnSpPr>
      <xdr:spPr>
        <a:xfrm>
          <a:off x="15614737" y="3862871"/>
          <a:ext cx="3799622" cy="13854"/>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208029</xdr:colOff>
      <xdr:row>23</xdr:row>
      <xdr:rowOff>91786</xdr:rowOff>
    </xdr:from>
    <xdr:to>
      <xdr:col>24</xdr:col>
      <xdr:colOff>190421</xdr:colOff>
      <xdr:row>24</xdr:row>
      <xdr:rowOff>82005</xdr:rowOff>
    </xdr:to>
    <xdr:sp macro="" textlink="">
      <xdr:nvSpPr>
        <xdr:cNvPr id="32" name="Rectangle 31"/>
        <xdr:cNvSpPr/>
      </xdr:nvSpPr>
      <xdr:spPr>
        <a:xfrm>
          <a:off x="11180829" y="4473286"/>
          <a:ext cx="3639992" cy="180719"/>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204566</xdr:colOff>
      <xdr:row>24</xdr:row>
      <xdr:rowOff>105640</xdr:rowOff>
    </xdr:from>
    <xdr:to>
      <xdr:col>24</xdr:col>
      <xdr:colOff>257656</xdr:colOff>
      <xdr:row>25</xdr:row>
      <xdr:rowOff>93211</xdr:rowOff>
    </xdr:to>
    <xdr:sp macro="" textlink="">
      <xdr:nvSpPr>
        <xdr:cNvPr id="33" name="Rectangle 32"/>
        <xdr:cNvSpPr/>
      </xdr:nvSpPr>
      <xdr:spPr>
        <a:xfrm>
          <a:off x="11177366" y="4677640"/>
          <a:ext cx="3710690" cy="178071"/>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235740</xdr:colOff>
      <xdr:row>26</xdr:row>
      <xdr:rowOff>119495</xdr:rowOff>
    </xdr:from>
    <xdr:to>
      <xdr:col>24</xdr:col>
      <xdr:colOff>280069</xdr:colOff>
      <xdr:row>27</xdr:row>
      <xdr:rowOff>126829</xdr:rowOff>
    </xdr:to>
    <xdr:sp macro="" textlink="">
      <xdr:nvSpPr>
        <xdr:cNvPr id="34" name="Rectangle 33"/>
        <xdr:cNvSpPr/>
      </xdr:nvSpPr>
      <xdr:spPr>
        <a:xfrm>
          <a:off x="11208540" y="5072495"/>
          <a:ext cx="3701929" cy="19783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197640</xdr:colOff>
      <xdr:row>27</xdr:row>
      <xdr:rowOff>133349</xdr:rowOff>
    </xdr:from>
    <xdr:to>
      <xdr:col>24</xdr:col>
      <xdr:colOff>280069</xdr:colOff>
      <xdr:row>28</xdr:row>
      <xdr:rowOff>115623</xdr:rowOff>
    </xdr:to>
    <xdr:sp macro="" textlink="">
      <xdr:nvSpPr>
        <xdr:cNvPr id="35" name="Rectangle 34"/>
        <xdr:cNvSpPr/>
      </xdr:nvSpPr>
      <xdr:spPr>
        <a:xfrm>
          <a:off x="11170440" y="5276849"/>
          <a:ext cx="3740029" cy="17277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228813</xdr:colOff>
      <xdr:row>29</xdr:row>
      <xdr:rowOff>95249</xdr:rowOff>
    </xdr:from>
    <xdr:to>
      <xdr:col>24</xdr:col>
      <xdr:colOff>369716</xdr:colOff>
      <xdr:row>31</xdr:row>
      <xdr:rowOff>93211</xdr:rowOff>
    </xdr:to>
    <xdr:sp macro="" textlink="">
      <xdr:nvSpPr>
        <xdr:cNvPr id="36" name="Rectangle 35"/>
        <xdr:cNvSpPr/>
      </xdr:nvSpPr>
      <xdr:spPr>
        <a:xfrm>
          <a:off x="11201613" y="5619749"/>
          <a:ext cx="3798503" cy="378962"/>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360139</xdr:colOff>
      <xdr:row>26</xdr:row>
      <xdr:rowOff>89138</xdr:rowOff>
    </xdr:from>
    <xdr:to>
      <xdr:col>31</xdr:col>
      <xdr:colOff>91010</xdr:colOff>
      <xdr:row>27</xdr:row>
      <xdr:rowOff>89138</xdr:rowOff>
    </xdr:to>
    <xdr:sp macro="" textlink="">
      <xdr:nvSpPr>
        <xdr:cNvPr id="37" name="Rectangle 36"/>
        <xdr:cNvSpPr/>
      </xdr:nvSpPr>
      <xdr:spPr>
        <a:xfrm>
          <a:off x="15600139" y="5042138"/>
          <a:ext cx="3388471" cy="190500"/>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437155</xdr:colOff>
      <xdr:row>27</xdr:row>
      <xdr:rowOff>79560</xdr:rowOff>
    </xdr:from>
    <xdr:to>
      <xdr:col>31</xdr:col>
      <xdr:colOff>168026</xdr:colOff>
      <xdr:row>29</xdr:row>
      <xdr:rowOff>65705</xdr:rowOff>
    </xdr:to>
    <xdr:sp macro="" textlink="">
      <xdr:nvSpPr>
        <xdr:cNvPr id="38" name="Rectangle 37"/>
        <xdr:cNvSpPr/>
      </xdr:nvSpPr>
      <xdr:spPr>
        <a:xfrm>
          <a:off x="15677155" y="5223060"/>
          <a:ext cx="3388471" cy="367145"/>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436137</xdr:colOff>
      <xdr:row>29</xdr:row>
      <xdr:rowOff>97896</xdr:rowOff>
    </xdr:from>
    <xdr:to>
      <xdr:col>31</xdr:col>
      <xdr:colOff>167008</xdr:colOff>
      <xdr:row>31</xdr:row>
      <xdr:rowOff>135997</xdr:rowOff>
    </xdr:to>
    <xdr:sp macro="" textlink="">
      <xdr:nvSpPr>
        <xdr:cNvPr id="39" name="Rectangle 38"/>
        <xdr:cNvSpPr/>
      </xdr:nvSpPr>
      <xdr:spPr>
        <a:xfrm>
          <a:off x="15676137" y="5622396"/>
          <a:ext cx="3388471" cy="419101"/>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497988</xdr:colOff>
      <xdr:row>25</xdr:row>
      <xdr:rowOff>95249</xdr:rowOff>
    </xdr:from>
    <xdr:to>
      <xdr:col>43</xdr:col>
      <xdr:colOff>274582</xdr:colOff>
      <xdr:row>25</xdr:row>
      <xdr:rowOff>112567</xdr:rowOff>
    </xdr:to>
    <xdr:cxnSp macro="">
      <xdr:nvCxnSpPr>
        <xdr:cNvPr id="40" name="Straight Connector 39"/>
        <xdr:cNvCxnSpPr/>
      </xdr:nvCxnSpPr>
      <xdr:spPr>
        <a:xfrm flipV="1">
          <a:off x="22443588" y="4857749"/>
          <a:ext cx="4043794" cy="17318"/>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103380</xdr:colOff>
      <xdr:row>31</xdr:row>
      <xdr:rowOff>5194</xdr:rowOff>
    </xdr:from>
    <xdr:to>
      <xdr:col>51</xdr:col>
      <xdr:colOff>400262</xdr:colOff>
      <xdr:row>32</xdr:row>
      <xdr:rowOff>8658</xdr:rowOff>
    </xdr:to>
    <xdr:sp macro="" textlink="">
      <xdr:nvSpPr>
        <xdr:cNvPr id="41" name="Rectangle 40"/>
        <xdr:cNvSpPr/>
      </xdr:nvSpPr>
      <xdr:spPr>
        <a:xfrm>
          <a:off x="27535380" y="5910694"/>
          <a:ext cx="3954482" cy="19396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172653</xdr:colOff>
      <xdr:row>29</xdr:row>
      <xdr:rowOff>55911</xdr:rowOff>
    </xdr:from>
    <xdr:to>
      <xdr:col>6</xdr:col>
      <xdr:colOff>325053</xdr:colOff>
      <xdr:row>29</xdr:row>
      <xdr:rowOff>55911</xdr:rowOff>
    </xdr:to>
    <xdr:cxnSp macro="">
      <xdr:nvCxnSpPr>
        <xdr:cNvPr id="42" name="Straight Connector 41"/>
        <xdr:cNvCxnSpPr/>
      </xdr:nvCxnSpPr>
      <xdr:spPr>
        <a:xfrm>
          <a:off x="172653" y="5580411"/>
          <a:ext cx="381000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95250</xdr:colOff>
      <xdr:row>33</xdr:row>
      <xdr:rowOff>27214</xdr:rowOff>
    </xdr:from>
    <xdr:to>
      <xdr:col>15</xdr:col>
      <xdr:colOff>111577</xdr:colOff>
      <xdr:row>34</xdr:row>
      <xdr:rowOff>38099</xdr:rowOff>
    </xdr:to>
    <xdr:sp macro="" textlink="">
      <xdr:nvSpPr>
        <xdr:cNvPr id="43" name="Rectangle 42"/>
        <xdr:cNvSpPr/>
      </xdr:nvSpPr>
      <xdr:spPr>
        <a:xfrm>
          <a:off x="4972050" y="631371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111579</xdr:colOff>
      <xdr:row>36</xdr:row>
      <xdr:rowOff>70756</xdr:rowOff>
    </xdr:from>
    <xdr:to>
      <xdr:col>15</xdr:col>
      <xdr:colOff>127906</xdr:colOff>
      <xdr:row>37</xdr:row>
      <xdr:rowOff>81641</xdr:rowOff>
    </xdr:to>
    <xdr:sp macro="" textlink="">
      <xdr:nvSpPr>
        <xdr:cNvPr id="44" name="Rectangle 43"/>
        <xdr:cNvSpPr/>
      </xdr:nvSpPr>
      <xdr:spPr>
        <a:xfrm>
          <a:off x="4988379" y="6928756"/>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195943</xdr:colOff>
      <xdr:row>44</xdr:row>
      <xdr:rowOff>5441</xdr:rowOff>
    </xdr:from>
    <xdr:to>
      <xdr:col>7</xdr:col>
      <xdr:colOff>212270</xdr:colOff>
      <xdr:row>45</xdr:row>
      <xdr:rowOff>16326</xdr:rowOff>
    </xdr:to>
    <xdr:sp macro="" textlink="">
      <xdr:nvSpPr>
        <xdr:cNvPr id="45" name="Rectangle 44"/>
        <xdr:cNvSpPr/>
      </xdr:nvSpPr>
      <xdr:spPr>
        <a:xfrm>
          <a:off x="195943" y="8387441"/>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76201</xdr:colOff>
      <xdr:row>34</xdr:row>
      <xdr:rowOff>76198</xdr:rowOff>
    </xdr:from>
    <xdr:to>
      <xdr:col>7</xdr:col>
      <xdr:colOff>92528</xdr:colOff>
      <xdr:row>35</xdr:row>
      <xdr:rowOff>87083</xdr:rowOff>
    </xdr:to>
    <xdr:sp macro="" textlink="">
      <xdr:nvSpPr>
        <xdr:cNvPr id="46" name="Rectangle 45"/>
        <xdr:cNvSpPr/>
      </xdr:nvSpPr>
      <xdr:spPr>
        <a:xfrm>
          <a:off x="76201" y="6553198"/>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187780</xdr:colOff>
      <xdr:row>45</xdr:row>
      <xdr:rowOff>10883</xdr:rowOff>
    </xdr:from>
    <xdr:to>
      <xdr:col>7</xdr:col>
      <xdr:colOff>204107</xdr:colOff>
      <xdr:row>46</xdr:row>
      <xdr:rowOff>21768</xdr:rowOff>
    </xdr:to>
    <xdr:sp macro="" textlink="">
      <xdr:nvSpPr>
        <xdr:cNvPr id="47" name="Rectangle 46"/>
        <xdr:cNvSpPr/>
      </xdr:nvSpPr>
      <xdr:spPr>
        <a:xfrm>
          <a:off x="187780" y="8583383"/>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108859</xdr:colOff>
      <xdr:row>44</xdr:row>
      <xdr:rowOff>27214</xdr:rowOff>
    </xdr:from>
    <xdr:to>
      <xdr:col>15</xdr:col>
      <xdr:colOff>585108</xdr:colOff>
      <xdr:row>45</xdr:row>
      <xdr:rowOff>51703</xdr:rowOff>
    </xdr:to>
    <xdr:sp macro="" textlink="">
      <xdr:nvSpPr>
        <xdr:cNvPr id="48" name="Rectangle 47"/>
        <xdr:cNvSpPr/>
      </xdr:nvSpPr>
      <xdr:spPr>
        <a:xfrm>
          <a:off x="4985659" y="8409214"/>
          <a:ext cx="4743449" cy="214989"/>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544288</xdr:colOff>
      <xdr:row>13</xdr:row>
      <xdr:rowOff>122464</xdr:rowOff>
    </xdr:from>
    <xdr:to>
      <xdr:col>31</xdr:col>
      <xdr:colOff>560615</xdr:colOff>
      <xdr:row>14</xdr:row>
      <xdr:rowOff>133349</xdr:rowOff>
    </xdr:to>
    <xdr:sp macro="" textlink="">
      <xdr:nvSpPr>
        <xdr:cNvPr id="49" name="Rectangle 48"/>
        <xdr:cNvSpPr/>
      </xdr:nvSpPr>
      <xdr:spPr>
        <a:xfrm>
          <a:off x="15174688" y="259896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547010</xdr:colOff>
      <xdr:row>14</xdr:row>
      <xdr:rowOff>152400</xdr:rowOff>
    </xdr:from>
    <xdr:to>
      <xdr:col>31</xdr:col>
      <xdr:colOff>563337</xdr:colOff>
      <xdr:row>15</xdr:row>
      <xdr:rowOff>163285</xdr:rowOff>
    </xdr:to>
    <xdr:sp macro="" textlink="">
      <xdr:nvSpPr>
        <xdr:cNvPr id="50" name="Rectangle 49"/>
        <xdr:cNvSpPr/>
      </xdr:nvSpPr>
      <xdr:spPr>
        <a:xfrm>
          <a:off x="15177410" y="2819400"/>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604160</xdr:colOff>
      <xdr:row>24</xdr:row>
      <xdr:rowOff>141514</xdr:rowOff>
    </xdr:from>
    <xdr:to>
      <xdr:col>31</xdr:col>
      <xdr:colOff>204107</xdr:colOff>
      <xdr:row>26</xdr:row>
      <xdr:rowOff>95250</xdr:rowOff>
    </xdr:to>
    <xdr:sp macro="" textlink="">
      <xdr:nvSpPr>
        <xdr:cNvPr id="51" name="Rectangle 50"/>
        <xdr:cNvSpPr/>
      </xdr:nvSpPr>
      <xdr:spPr>
        <a:xfrm>
          <a:off x="15234560" y="4713514"/>
          <a:ext cx="3867147" cy="334736"/>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563340</xdr:colOff>
      <xdr:row>23</xdr:row>
      <xdr:rowOff>127907</xdr:rowOff>
    </xdr:from>
    <xdr:to>
      <xdr:col>31</xdr:col>
      <xdr:colOff>272144</xdr:colOff>
      <xdr:row>24</xdr:row>
      <xdr:rowOff>122464</xdr:rowOff>
    </xdr:to>
    <xdr:sp macro="" textlink="">
      <xdr:nvSpPr>
        <xdr:cNvPr id="52" name="Rectangle 51"/>
        <xdr:cNvSpPr/>
      </xdr:nvSpPr>
      <xdr:spPr>
        <a:xfrm>
          <a:off x="15193740" y="4509407"/>
          <a:ext cx="3976004" cy="185057"/>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585108</xdr:colOff>
      <xdr:row>12</xdr:row>
      <xdr:rowOff>136072</xdr:rowOff>
    </xdr:from>
    <xdr:to>
      <xdr:col>42</xdr:col>
      <xdr:colOff>601435</xdr:colOff>
      <xdr:row>13</xdr:row>
      <xdr:rowOff>146957</xdr:rowOff>
    </xdr:to>
    <xdr:sp macro="" textlink="">
      <xdr:nvSpPr>
        <xdr:cNvPr id="53" name="Rectangle 52"/>
        <xdr:cNvSpPr/>
      </xdr:nvSpPr>
      <xdr:spPr>
        <a:xfrm>
          <a:off x="21921108" y="242207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560615</xdr:colOff>
      <xdr:row>46</xdr:row>
      <xdr:rowOff>111579</xdr:rowOff>
    </xdr:from>
    <xdr:to>
      <xdr:col>42</xdr:col>
      <xdr:colOff>576942</xdr:colOff>
      <xdr:row>47</xdr:row>
      <xdr:rowOff>122464</xdr:rowOff>
    </xdr:to>
    <xdr:sp macro="" textlink="">
      <xdr:nvSpPr>
        <xdr:cNvPr id="54" name="Rectangle 53"/>
        <xdr:cNvSpPr/>
      </xdr:nvSpPr>
      <xdr:spPr>
        <a:xfrm>
          <a:off x="21896615" y="8874579"/>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168729</xdr:colOff>
      <xdr:row>52</xdr:row>
      <xdr:rowOff>155122</xdr:rowOff>
    </xdr:from>
    <xdr:to>
      <xdr:col>7</xdr:col>
      <xdr:colOff>185056</xdr:colOff>
      <xdr:row>53</xdr:row>
      <xdr:rowOff>166007</xdr:rowOff>
    </xdr:to>
    <xdr:sp macro="" textlink="">
      <xdr:nvSpPr>
        <xdr:cNvPr id="55" name="Rectangle 54"/>
        <xdr:cNvSpPr/>
      </xdr:nvSpPr>
      <xdr:spPr>
        <a:xfrm>
          <a:off x="168729" y="1006112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130629</xdr:colOff>
      <xdr:row>54</xdr:row>
      <xdr:rowOff>157844</xdr:rowOff>
    </xdr:from>
    <xdr:to>
      <xdr:col>7</xdr:col>
      <xdr:colOff>146956</xdr:colOff>
      <xdr:row>55</xdr:row>
      <xdr:rowOff>168729</xdr:rowOff>
    </xdr:to>
    <xdr:sp macro="" textlink="">
      <xdr:nvSpPr>
        <xdr:cNvPr id="56" name="Rectangle 55"/>
        <xdr:cNvSpPr/>
      </xdr:nvSpPr>
      <xdr:spPr>
        <a:xfrm>
          <a:off x="130629" y="1044484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106137</xdr:colOff>
      <xdr:row>41</xdr:row>
      <xdr:rowOff>174172</xdr:rowOff>
    </xdr:from>
    <xdr:to>
      <xdr:col>15</xdr:col>
      <xdr:colOff>122464</xdr:colOff>
      <xdr:row>42</xdr:row>
      <xdr:rowOff>185057</xdr:rowOff>
    </xdr:to>
    <xdr:sp macro="" textlink="">
      <xdr:nvSpPr>
        <xdr:cNvPr id="57" name="Rectangle 56"/>
        <xdr:cNvSpPr/>
      </xdr:nvSpPr>
      <xdr:spPr>
        <a:xfrm>
          <a:off x="4982937" y="798467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136073</xdr:colOff>
      <xdr:row>42</xdr:row>
      <xdr:rowOff>163286</xdr:rowOff>
    </xdr:from>
    <xdr:to>
      <xdr:col>15</xdr:col>
      <xdr:colOff>152400</xdr:colOff>
      <xdr:row>43</xdr:row>
      <xdr:rowOff>174171</xdr:rowOff>
    </xdr:to>
    <xdr:sp macro="" textlink="">
      <xdr:nvSpPr>
        <xdr:cNvPr id="58" name="Rectangle 57"/>
        <xdr:cNvSpPr/>
      </xdr:nvSpPr>
      <xdr:spPr>
        <a:xfrm>
          <a:off x="5012873" y="8164286"/>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45</xdr:col>
      <xdr:colOff>40821</xdr:colOff>
      <xdr:row>27</xdr:row>
      <xdr:rowOff>0</xdr:rowOff>
    </xdr:from>
    <xdr:to>
      <xdr:col>52</xdr:col>
      <xdr:colOff>57148</xdr:colOff>
      <xdr:row>28</xdr:row>
      <xdr:rowOff>10885</xdr:rowOff>
    </xdr:to>
    <xdr:sp macro="" textlink="">
      <xdr:nvSpPr>
        <xdr:cNvPr id="59" name="Rectangle 58"/>
        <xdr:cNvSpPr/>
      </xdr:nvSpPr>
      <xdr:spPr>
        <a:xfrm>
          <a:off x="27472821" y="5143500"/>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44" name="COURSELIST" displayName="COURSELIST" ref="A1:J63" totalsRowCount="1" headerRowDxfId="658" dataDxfId="656" totalsRowDxfId="657">
  <autoFilter ref="A1:J62"/>
  <sortState ref="A2:J62">
    <sortCondition ref="F1:F62"/>
  </sortState>
  <tableColumns count="10">
    <tableColumn id="1" name="Course Name" dataDxfId="668" totalsRowDxfId="655"/>
    <tableColumn id="2" name="Course Description" dataDxfId="667" totalsRowDxfId="654"/>
    <tableColumn id="3" name="Major" totalsRowLabel="Total Credits" dataDxfId="666" totalsRowDxfId="653"/>
    <tableColumn id="4" name="Credits" totalsRowFunction="sum" dataDxfId="665" totalsRowDxfId="652"/>
    <tableColumn id="5" name="Semester Taken" dataDxfId="664" totalsRowDxfId="651"/>
    <tableColumn id="6" name="Enrolled" totalsRowLabel="Completed" dataDxfId="663" totalsRowDxfId="650"/>
    <tableColumn id="9" name="Complete" totalsRowFunction="custom" dataDxfId="662" totalsRowDxfId="649">
      <totalsRowFormula>COUNTIFS(COURSELIST[Complete],"Y",COURSELIST[Complete],"y")</totalsRowFormula>
    </tableColumn>
    <tableColumn id="10" name="Grade Points" totalsRowFunction="sum" dataDxfId="661" totalsRowDxfId="648"/>
    <tableColumn id="8" name="Notes" dataDxfId="660" totalsRowDxfId="647"/>
    <tableColumn id="7" name="Counter" dataDxfId="659" totalsRowDxfId="646"/>
  </tableColumns>
  <tableStyleInfo name="TableStyleMedium17" showFirstColumn="0" showLastColumn="0" showRowStripes="1" showColumnStripes="0"/>
</table>
</file>

<file path=xl/tables/table2.xml><?xml version="1.0" encoding="utf-8"?>
<table xmlns="http://schemas.openxmlformats.org/spreadsheetml/2006/main" id="46" name="Table16182047" displayName="Table16182047" ref="M27:R33" totalsRowShown="0" headerRowDxfId="882" dataDxfId="881">
  <autoFilter ref="M27:R33"/>
  <tableColumns count="6">
    <tableColumn id="1" name="GP can lose" dataDxfId="880">
      <calculatedColumnFormula>N10-$M$23</calculatedColumnFormula>
    </tableColumn>
    <tableColumn id="6" name="A-'s" dataDxfId="879">
      <calculatedColumnFormula>Table16182047[[#This Row],[GP can lose]]/$M$39</calculatedColumnFormula>
    </tableColumn>
    <tableColumn id="7" name="B's" dataDxfId="878">
      <calculatedColumnFormula>Table16182047[[#This Row],[GP can lose]]/$M$40</calculatedColumnFormula>
    </tableColumn>
    <tableColumn id="8" name="C's" dataDxfId="877">
      <calculatedColumnFormula>Table16182047[[#This Row],[GP can lose]]/$M$41</calculatedColumnFormula>
    </tableColumn>
    <tableColumn id="2" name="D's" dataDxfId="876">
      <calculatedColumnFormula>Table16182047[[#This Row],[GP can lose]]/$M$42</calculatedColumnFormula>
    </tableColumn>
    <tableColumn id="3" name="F's" dataDxfId="875">
      <calculatedColumnFormula>Table16182047[[#This Row],[GP can lose]]/$M$43</calculatedColumnFormula>
    </tableColumn>
  </tableColumns>
  <tableStyleInfo name="TableStyleMedium5" showFirstColumn="0" showLastColumn="0" showRowStripes="1" showColumnStripes="0"/>
</table>
</file>

<file path=xl/tables/table3.xml><?xml version="1.0" encoding="utf-8"?>
<table xmlns="http://schemas.openxmlformats.org/spreadsheetml/2006/main" id="2" name="Table1619463" displayName="Table1619463" ref="M9:R15" totalsRowShown="0" headerRowDxfId="874" dataDxfId="873">
  <autoFilter ref="M9:R15"/>
  <tableColumns count="6">
    <tableColumn id="1" name="Grade Points" dataDxfId="872">
      <calculatedColumnFormula>$O$3*L10</calculatedColumnFormula>
    </tableColumn>
    <tableColumn id="2" name="To be lost" dataDxfId="871">
      <calculatedColumnFormula>$M$10-M10</calculatedColumnFormula>
    </tableColumn>
    <tableColumn id="3" name="A-'s" dataDxfId="870">
      <calculatedColumnFormula>$N10/$M$39</calculatedColumnFormula>
    </tableColumn>
    <tableColumn id="4" name="B's" dataDxfId="869">
      <calculatedColumnFormula>$N10/$M$40</calculatedColumnFormula>
    </tableColumn>
    <tableColumn id="5" name="C's" dataDxfId="868">
      <calculatedColumnFormula>$N10/$M$41</calculatedColumnFormula>
    </tableColumn>
    <tableColumn id="6" name="D's" dataDxfId="867">
      <calculatedColumnFormula>$N10/$M$42</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20" name="Table32221" displayName="Table32221" ref="C46:J53" totalsRowShown="0" headerRowDxfId="866" dataDxfId="865">
  <autoFilter ref="C46:J53"/>
  <tableColumns count="8">
    <tableColumn id="1" name="Course" dataDxfId="864"/>
    <tableColumn id="2" name="Name" dataDxfId="863">
      <calculatedColumnFormula>IF(Table32221[[#This Row],[Course]]= "","",IFERROR(VLOOKUP(Table32221[[#This Row],[Course]],COURSELIST[],2,FALSE),"Course Not Found!"))</calculatedColumnFormula>
    </tableColumn>
    <tableColumn id="3" name="Degree" dataDxfId="862">
      <calculatedColumnFormula>IF(Table32221[[#This Row],[Course]]= "","",IFERROR(VLOOKUP(Table32221[[#This Row],[Course]],COURSELIST[],3,FALSE),""))</calculatedColumnFormula>
    </tableColumn>
    <tableColumn id="4" name="Credits" dataDxfId="861">
      <calculatedColumnFormula>IF(Table32221[[#This Row],[Course]]= "","",IFERROR(VLOOKUP(Table32221[[#This Row],[Course]],COURSELIST[],4,FALSE),""))</calculatedColumnFormula>
    </tableColumn>
    <tableColumn id="5" name=" " dataDxfId="860"/>
    <tableColumn id="6" name="Enrolled" dataDxfId="859">
      <calculatedColumnFormula>IF(Table32221[[#This Row],[Course]]= "","",IFERROR(VLOOKUP(Table32221[[#This Row],[Course]],COURSELIST[],6,FALSE),""))</calculatedColumnFormula>
    </tableColumn>
    <tableColumn id="7" name="Completed" dataDxfId="858">
      <calculatedColumnFormula>IF(Table32221[[#This Row],[Course]]= "","",IFERROR(VLOOKUP(Table32221[[#This Row],[Course]],COURSELIST[],7,FALSE),""))</calculatedColumnFormula>
    </tableColumn>
    <tableColumn id="8" name="GradePoints" dataDxfId="857">
      <calculatedColumnFormula>IF(Table32221[[#This Row],[Course]]= "","",IFERROR(VLOOKUP(Table32221[[#This Row],[Course]],COURSELIST[],8,FALSE),""))</calculatedColumnFormula>
    </tableColumn>
  </tableColumns>
  <tableStyleInfo name="TableStyleLight3" showFirstColumn="0" showLastColumn="0" showRowStripes="1" showColumnStripes="0"/>
</table>
</file>

<file path=xl/tables/table5.xml><?xml version="1.0" encoding="utf-8"?>
<table xmlns="http://schemas.openxmlformats.org/spreadsheetml/2006/main" id="33" name="Table42334" displayName="Table42334" ref="C32:J39" totalsRowShown="0" headerRowDxfId="856" dataDxfId="855">
  <autoFilter ref="C32:J39"/>
  <tableColumns count="8">
    <tableColumn id="1" name="Course" dataDxfId="854"/>
    <tableColumn id="2" name="Name" dataDxfId="853">
      <calculatedColumnFormula>IF(Table42334[[#This Row],[Course]]= "","",IFERROR(VLOOKUP(Table42334[[#This Row],[Course]],COURSELIST[],2,FALSE),"Course Not Found!"))</calculatedColumnFormula>
    </tableColumn>
    <tableColumn id="3" name="Degree" dataDxfId="852">
      <calculatedColumnFormula>IF(Table42334[[#This Row],[Course]]= "","",IFERROR(VLOOKUP(Table42334[[#This Row],[Course]],COURSELIST[],3,FALSE),""))</calculatedColumnFormula>
    </tableColumn>
    <tableColumn id="4" name="Credits" dataDxfId="851">
      <calculatedColumnFormula>IF(Table42334[[#This Row],[Course]]= "","",IFERROR(VLOOKUP(Table42334[[#This Row],[Course]],COURSELIST[],4,FALSE),""))</calculatedColumnFormula>
    </tableColumn>
    <tableColumn id="5" name=" " dataDxfId="850"/>
    <tableColumn id="6" name="Enrolled" dataDxfId="849">
      <calculatedColumnFormula>IF(Table42334[[#This Row],[Course]]= "","",IFERROR(VLOOKUP(Table42334[[#This Row],[Course]],COURSELIST[],6,FALSE),""))</calculatedColumnFormula>
    </tableColumn>
    <tableColumn id="7" name="Completed" dataDxfId="848">
      <calculatedColumnFormula>IF(Table42334[[#This Row],[Course]]= "","",IFERROR(VLOOKUP(Table42334[[#This Row],[Course]],COURSELIST[],7,FALSE),""))</calculatedColumnFormula>
    </tableColumn>
    <tableColumn id="8" name="GradePoints" dataDxfId="847">
      <calculatedColumnFormula>IF(Table42334[[#This Row],[Course]]= "","",IFERROR(VLOOKUP(Table42334[[#This Row],[Course]],COURSELIST[],8,FALSE),""))</calculatedColumnFormula>
    </tableColumn>
  </tableColumns>
  <tableStyleInfo name="TableStyleLight3" showFirstColumn="0" showLastColumn="0" showRowStripes="1" showColumnStripes="0"/>
</table>
</file>

<file path=xl/tables/table6.xml><?xml version="1.0" encoding="utf-8"?>
<table xmlns="http://schemas.openxmlformats.org/spreadsheetml/2006/main" id="34" name="Table52435" displayName="Table52435" ref="C18:J25" totalsRowShown="0" headerRowDxfId="846" dataDxfId="845">
  <autoFilter ref="C18:J25"/>
  <tableColumns count="8">
    <tableColumn id="1" name="Course" dataDxfId="844"/>
    <tableColumn id="2" name="Name" dataDxfId="843">
      <calculatedColumnFormula>IF(Table52435[[#This Row],[Course]]= "","",IFERROR(VLOOKUP(Table52435[[#This Row],[Course]],COURSELIST[],2,FALSE),"Course Not Found!"))</calculatedColumnFormula>
    </tableColumn>
    <tableColumn id="3" name="Degree" dataDxfId="842">
      <calculatedColumnFormula>IF(Table52435[[#This Row],[Course]]= "","",IFERROR(VLOOKUP(Table52435[[#This Row],[Course]],COURSELIST[],3,FALSE),""))</calculatedColumnFormula>
    </tableColumn>
    <tableColumn id="4" name="Credits" dataDxfId="841">
      <calculatedColumnFormula>IF(Table52435[[#This Row],[Course]]= "","",IFERROR(VLOOKUP(Table52435[[#This Row],[Course]],COURSELIST[],4,FALSE),""))</calculatedColumnFormula>
    </tableColumn>
    <tableColumn id="5" name=" " dataDxfId="840"/>
    <tableColumn id="6" name="Enrolled" dataDxfId="839">
      <calculatedColumnFormula>IF(Table52435[[#This Row],[Course]]= "","",IFERROR(VLOOKUP(Table52435[[#This Row],[Course]],COURSELIST[],6,FALSE),""))</calculatedColumnFormula>
    </tableColumn>
    <tableColumn id="7" name="Completed" dataDxfId="838">
      <calculatedColumnFormula>IF(Table52435[[#This Row],[Course]]= "","",IFERROR(VLOOKUP(Table52435[[#This Row],[Course]],COURSELIST[],7,FALSE),""))</calculatedColumnFormula>
    </tableColumn>
    <tableColumn id="8" name="GradePoints" dataDxfId="837">
      <calculatedColumnFormula>IF(Table52435[[#This Row],[Course]]= "","",IFERROR(VLOOKUP(Table52435[[#This Row],[Course]],COURSELIST[],8,FALSE),""))</calculatedColumnFormula>
    </tableColumn>
  </tableColumns>
  <tableStyleInfo name="TableStyleLight3" showFirstColumn="0" showLastColumn="0" showRowStripes="1" showColumnStripes="0"/>
</table>
</file>

<file path=xl/tables/table7.xml><?xml version="1.0" encoding="utf-8"?>
<table xmlns="http://schemas.openxmlformats.org/spreadsheetml/2006/main" id="35" name="CSMINORFALL201336" displayName="CSMINORFALL201336" ref="C3:J10" totalsRowShown="0" headerRowDxfId="836" dataDxfId="835">
  <autoFilter ref="C3:J10"/>
  <tableColumns count="8">
    <tableColumn id="1" name="Course" dataDxfId="834"/>
    <tableColumn id="2" name="Name" dataDxfId="833">
      <calculatedColumnFormula>IF(CSMINORFALL201336[[#This Row],[Course]]= "","",IFERROR(VLOOKUP(CSMINORFALL201336[[#This Row],[Course]],COURSELIST[],2,FALSE),"Course Not Found!"))</calculatedColumnFormula>
    </tableColumn>
    <tableColumn id="3" name="Degree" dataDxfId="832">
      <calculatedColumnFormula>IF(CSMINORFALL201336[[#This Row],[Course]]= "","",IFERROR(VLOOKUP(CSMINORFALL201336[[#This Row],[Course]],COURSELIST[],3,FALSE),""))</calculatedColumnFormula>
    </tableColumn>
    <tableColumn id="4" name="Credits" dataDxfId="831">
      <calculatedColumnFormula>IF(CSMINORFALL201336[[#This Row],[Course]]= "","",IFERROR(VLOOKUP(CSMINORFALL201336[[#This Row],[Course]],COURSELIST[],4,FALSE),""))</calculatedColumnFormula>
    </tableColumn>
    <tableColumn id="5" name=" " dataDxfId="830"/>
    <tableColumn id="6" name="Enrolled" dataDxfId="829">
      <calculatedColumnFormula>IF(CSMINORFALL201336[[#This Row],[Course]]= "","",IFERROR(VLOOKUP(CSMINORFALL201336[[#This Row],[Course]],COURSELIST[],6,FALSE),""))</calculatedColumnFormula>
    </tableColumn>
    <tableColumn id="7" name="Completed" dataDxfId="828">
      <calculatedColumnFormula>IF(CSMINORFALL201336[[#This Row],[Course]]= "","",IFERROR(VLOOKUP(CSMINORFALL201336[[#This Row],[Course]],COURSELIST[],7,FALSE),""))</calculatedColumnFormula>
    </tableColumn>
    <tableColumn id="8" name="GradePoints" dataDxfId="827">
      <calculatedColumnFormula>IF(CSMINORFALL201336[[#This Row],[Course]]= "","",IFERROR(VLOOKUP(CSMINORFALL201336[[#This Row],[Course]],COURSELIST[],8,FALSE),""))</calculatedColumnFormula>
    </tableColumn>
  </tableColumns>
  <tableStyleInfo name="TableStyleLight3" showFirstColumn="0" showLastColumn="0" showRowStripes="1" showColumnStripes="0"/>
</table>
</file>

<file path=xl/tables/table8.xml><?xml version="1.0" encoding="utf-8"?>
<table xmlns="http://schemas.openxmlformats.org/spreadsheetml/2006/main" id="36" name="Table72637" displayName="Table72637" ref="W18:AD25" totalsRowShown="0" headerRowDxfId="826" dataDxfId="825">
  <autoFilter ref="W18:AD25"/>
  <tableColumns count="8">
    <tableColumn id="1" name="Course" dataDxfId="824"/>
    <tableColumn id="2" name="Name" dataDxfId="823">
      <calculatedColumnFormula>IF(Table72637[[#This Row],[Course]]= "","",IFERROR(VLOOKUP(Table72637[[#This Row],[Course]],COURSELIST[],2,FALSE),"Course Not Found!"))</calculatedColumnFormula>
    </tableColumn>
    <tableColumn id="3" name="Degree" dataDxfId="822">
      <calculatedColumnFormula>IF(Table72637[[#This Row],[Course]]= "","",IFERROR(VLOOKUP(Table72637[[#This Row],[Course]],COURSELIST[],3,FALSE),""))</calculatedColumnFormula>
    </tableColumn>
    <tableColumn id="4" name="Credits" dataDxfId="821">
      <calculatedColumnFormula>IF(Table72637[[#This Row],[Course]]= "","",IFERROR(VLOOKUP(Table72637[[#This Row],[Course]],COURSELIST[],4,FALSE),""))</calculatedColumnFormula>
    </tableColumn>
    <tableColumn id="5" name=" " dataDxfId="820"/>
    <tableColumn id="6" name="Enrolled" dataDxfId="819">
      <calculatedColumnFormula>IF(Table72637[[#This Row],[Course]]= "","",IFERROR(VLOOKUP(Table72637[[#This Row],[Course]],COURSELIST[],6,FALSE),""))</calculatedColumnFormula>
    </tableColumn>
    <tableColumn id="7" name="Completed" dataDxfId="818">
      <calculatedColumnFormula>IF(Table72637[[#This Row],[Course]]= "","",IFERROR(VLOOKUP(Table72637[[#This Row],[Course]],COURSELIST[],7,FALSE),""))</calculatedColumnFormula>
    </tableColumn>
    <tableColumn id="8" name="GradePoints" dataDxfId="817">
      <calculatedColumnFormula>IF(Table72637[[#This Row],[Course]]= "","",IFERROR(VLOOKUP(Table72637[[#This Row],[Course]],COURSELIST[],8,FALSE),""))</calculatedColumnFormula>
    </tableColumn>
  </tableColumns>
  <tableStyleInfo name="TableStyleLight7" showFirstColumn="0" showLastColumn="0" showRowStripes="1" showColumnStripes="0"/>
</table>
</file>

<file path=xl/tables/table9.xml><?xml version="1.0" encoding="utf-8"?>
<table xmlns="http://schemas.openxmlformats.org/spreadsheetml/2006/main" id="37" name="Table82738" displayName="Table82738" ref="W32:AD39" totalsRowShown="0" headerRowDxfId="816" dataDxfId="815">
  <autoFilter ref="W32:AD39"/>
  <tableColumns count="8">
    <tableColumn id="1" name="Course" dataDxfId="814"/>
    <tableColumn id="2" name="Name" dataDxfId="813">
      <calculatedColumnFormula>IF(Table82738[[#This Row],[Course]]= "","",IFERROR(VLOOKUP(Table82738[[#This Row],[Course]],COURSELIST[],2,FALSE),"Course Not Found!"))</calculatedColumnFormula>
    </tableColumn>
    <tableColumn id="3" name="Degree" dataDxfId="812">
      <calculatedColumnFormula>IF(Table82738[[#This Row],[Course]]= "","",IFERROR(VLOOKUP(Table82738[[#This Row],[Course]],COURSELIST[],3,FALSE),""))</calculatedColumnFormula>
    </tableColumn>
    <tableColumn id="4" name="Credits" dataDxfId="811">
      <calculatedColumnFormula>IF(Table82738[[#This Row],[Course]]= "","",IFERROR(VLOOKUP(Table82738[[#This Row],[Course]],COURSELIST[],4,FALSE),""))</calculatedColumnFormula>
    </tableColumn>
    <tableColumn id="5" name=" " dataDxfId="810"/>
    <tableColumn id="6" name="Enrolled" dataDxfId="809">
      <calculatedColumnFormula>IF(Table82738[[#This Row],[Course]]= "","",IFERROR(VLOOKUP(Table82738[[#This Row],[Course]],COURSELIST[],6,FALSE),""))</calculatedColumnFormula>
    </tableColumn>
    <tableColumn id="7" name="Completed" dataDxfId="808">
      <calculatedColumnFormula>IF(Table82738[[#This Row],[Course]]= "","",IFERROR(VLOOKUP(Table82738[[#This Row],[Course]],COURSELIST[],7,FALSE),""))</calculatedColumnFormula>
    </tableColumn>
    <tableColumn id="8" name="GradePoints" dataDxfId="807">
      <calculatedColumnFormula>IF(Table82738[[#This Row],[Course]]= "","",IFERROR(VLOOKUP(Table82738[[#This Row],[Course]],COURSELIST[],8,FALSE),""))</calculatedColumnFormula>
    </tableColumn>
  </tableColumns>
  <tableStyleInfo name="TableStyleLight7" showFirstColumn="0" showLastColumn="0" showRowStripes="1" showColumnStripes="0"/>
</table>
</file>

<file path=xl/tables/table10.xml><?xml version="1.0" encoding="utf-8"?>
<table xmlns="http://schemas.openxmlformats.org/spreadsheetml/2006/main" id="38" name="Table92839" displayName="Table92839" ref="W46:AD53" totalsRowShown="0" headerRowDxfId="806" dataDxfId="805">
  <autoFilter ref="W46:AD53"/>
  <tableColumns count="8">
    <tableColumn id="1" name="Course" dataDxfId="804"/>
    <tableColumn id="2" name="Name" dataDxfId="803">
      <calculatedColumnFormula>IF(Table92839[[#This Row],[Course]]= "","",IFERROR(VLOOKUP(Table92839[[#This Row],[Course]],COURSELIST[],2,FALSE),"Course Not Found!"))</calculatedColumnFormula>
    </tableColumn>
    <tableColumn id="3" name="Degree" dataDxfId="802">
      <calculatedColumnFormula>IF(Table92839[[#This Row],[Course]]= "","",IFERROR(VLOOKUP(Table92839[[#This Row],[Course]],COURSELIST[],3,FALSE),""))</calculatedColumnFormula>
    </tableColumn>
    <tableColumn id="4" name="Credits" dataDxfId="801">
      <calculatedColumnFormula>IF(Table92839[[#This Row],[Course]]= "","",IFERROR(VLOOKUP(Table92839[[#This Row],[Course]],COURSELIST[],4,FALSE),""))</calculatedColumnFormula>
    </tableColumn>
    <tableColumn id="5" name=" " dataDxfId="800"/>
    <tableColumn id="6" name="Enrolled" dataDxfId="799">
      <calculatedColumnFormula>IF(Table92839[[#This Row],[Course]]= "","",IFERROR(VLOOKUP(Table92839[[#This Row],[Course]],COURSELIST[],6,FALSE),""))</calculatedColumnFormula>
    </tableColumn>
    <tableColumn id="7" name="Completed" dataDxfId="798">
      <calculatedColumnFormula>IF(Table92839[[#This Row],[Course]]= "","",IFERROR(VLOOKUP(Table92839[[#This Row],[Course]],COURSELIST[],7,FALSE),""))</calculatedColumnFormula>
    </tableColumn>
    <tableColumn id="8" name="GradePoints" dataDxfId="797">
      <calculatedColumnFormula>IF(Table92839[[#This Row],[Course]]= "","",IFERROR(VLOOKUP(Table92839[[#This Row],[Course]],COURSELIST[],8,FALSE),""))</calculatedColumnFormula>
    </tableColumn>
  </tableColumns>
  <tableStyleInfo name="TableStyleLight7" showFirstColumn="0" showLastColumn="0" showRowStripes="1" showColumnStripes="0"/>
</table>
</file>

<file path=xl/tables/table11.xml><?xml version="1.0" encoding="utf-8"?>
<table xmlns="http://schemas.openxmlformats.org/spreadsheetml/2006/main" id="39" name="Table102940" displayName="Table102940" ref="W3:AD10" totalsRowShown="0" headerRowDxfId="796" dataDxfId="795">
  <autoFilter ref="W3:AD10"/>
  <tableColumns count="8">
    <tableColumn id="1" name="Course" dataDxfId="794"/>
    <tableColumn id="2" name="Name" dataDxfId="793">
      <calculatedColumnFormula>IF(Table102940[[#This Row],[Course]]= "","",IFERROR(VLOOKUP(Table102940[[#This Row],[Course]],COURSELIST[],2,FALSE), "Class Not Found!"))</calculatedColumnFormula>
    </tableColumn>
    <tableColumn id="3" name="Degree" dataDxfId="792">
      <calculatedColumnFormula>IF(Table102940[[#This Row],[Course]]= "","",IFERROR(VLOOKUP(Table102940[[#This Row],[Course]],COURSELIST[],3,FALSE),""))</calculatedColumnFormula>
    </tableColumn>
    <tableColumn id="4" name="Credits" dataDxfId="791">
      <calculatedColumnFormula>IF(Table102940[[#This Row],[Course]]= "","",IFERROR(VLOOKUP(Table102940[[#This Row],[Course]],COURSELIST[],4,FALSE),""))</calculatedColumnFormula>
    </tableColumn>
    <tableColumn id="5" name=" " dataDxfId="790"/>
    <tableColumn id="6" name="Enrolled" dataDxfId="789">
      <calculatedColumnFormula>IF(Table102940[[#This Row],[Course]]= "","",IFERROR(VLOOKUP(Table102940[[#This Row],[Course]],COURSELIST[],6,FALSE),""))</calculatedColumnFormula>
    </tableColumn>
    <tableColumn id="7" name="Completed" dataDxfId="788">
      <calculatedColumnFormula>IF(Table102940[[#This Row],[Course]]= "","",IFERROR(VLOOKUP(Table102940[[#This Row],[Course]],COURSELIST[],7,FALSE),""))</calculatedColumnFormula>
    </tableColumn>
    <tableColumn id="8" name="GradePoints" dataDxfId="787">
      <calculatedColumnFormula>IF(Table102940[[#This Row],[Course]]= "","",IFERROR(VLOOKUP(Table102940[[#This Row],[Course]],COURSELIST[],8,FALSE),""))</calculatedColumnFormula>
    </tableColumn>
  </tableColumns>
  <tableStyleInfo name="TableStyleLight7" showFirstColumn="0" showLastColumn="0" showRowStripes="1" showColumnStripes="0"/>
</table>
</file>

<file path=xl/tables/table12.xml><?xml version="1.0" encoding="utf-8"?>
<table xmlns="http://schemas.openxmlformats.org/spreadsheetml/2006/main" id="40" name="CSMINORWINTERIM201441" displayName="CSMINORWINTERIM201441" ref="M3:T10" totalsRowShown="0" headerRowDxfId="786" dataDxfId="785">
  <autoFilter ref="M3:T10"/>
  <tableColumns count="8">
    <tableColumn id="1" name="Course" dataDxfId="784"/>
    <tableColumn id="2" name="Name" dataDxfId="783">
      <calculatedColumnFormula>IF(CSMINORWINTERIM201441[[#This Row],[Course]]= "","",IFERROR(VLOOKUP(CSMINORWINTERIM201441[[#This Row],[Course]],COURSELIST[],2,FALSE), "Class Not Found!"))</calculatedColumnFormula>
    </tableColumn>
    <tableColumn id="3" name="Degree" dataDxfId="782">
      <calculatedColumnFormula>IF(CSMINORWINTERIM201441[[#This Row],[Course]]= "","",IFERROR(VLOOKUP(CSMINORWINTERIM201441[[#This Row],[Course]],COURSELIST[],3,FALSE),""))</calculatedColumnFormula>
    </tableColumn>
    <tableColumn id="4" name="Credits" dataDxfId="781">
      <calculatedColumnFormula>IF(CSMINORWINTERIM201441[[#This Row],[Course]]= "","",IFERROR(VLOOKUP(CSMINORWINTERIM201441[[#This Row],[Course]],COURSELIST[],4,FALSE),""))</calculatedColumnFormula>
    </tableColumn>
    <tableColumn id="5" name=" " dataDxfId="780"/>
    <tableColumn id="6" name="Enrolled" dataDxfId="779">
      <calculatedColumnFormula>IF(CSMINORWINTERIM201441[[#This Row],[Course]]= "","",IFERROR(VLOOKUP(CSMINORWINTERIM201441[[#This Row],[Course]],COURSELIST[],6,FALSE),""))</calculatedColumnFormula>
    </tableColumn>
    <tableColumn id="7" name="Completed" dataDxfId="778">
      <calculatedColumnFormula>IF(CSMINORWINTERIM201441[[#This Row],[Course]]= "","",IFERROR(VLOOKUP(CSMINORWINTERIM201441[[#This Row],[Course]],COURSELIST[],7,FALSE),""))</calculatedColumnFormula>
    </tableColumn>
    <tableColumn id="8" name="GradePoints" dataDxfId="777">
      <calculatedColumnFormula>IF(CSMINORWINTERIM201441[[#This Row],[Course]]= "","",IFERROR(VLOOKUP(CSMINORWINTERIM201441[[#This Row],[Course]],COURSELIST[],8,FALSE),""))</calculatedColumnFormula>
    </tableColumn>
  </tableColumns>
  <tableStyleInfo name="TableStyleLight2" showFirstColumn="0" showLastColumn="0" showRowStripes="1" showColumnStripes="0"/>
</table>
</file>

<file path=xl/tables/table13.xml><?xml version="1.0" encoding="utf-8"?>
<table xmlns="http://schemas.openxmlformats.org/spreadsheetml/2006/main" id="41" name="Table123142" displayName="Table123142" ref="M18:T25" totalsRowShown="0" headerRowDxfId="776" dataDxfId="775">
  <autoFilter ref="M18:T25"/>
  <tableColumns count="8">
    <tableColumn id="1" name="Course" dataDxfId="774"/>
    <tableColumn id="2" name="Name" dataDxfId="773">
      <calculatedColumnFormula>IF(Table123142[[#This Row],[Course]]= "","",IFERROR(VLOOKUP(Table123142[[#This Row],[Course]],COURSELIST[],2,FALSE),"Course Not Found!"))</calculatedColumnFormula>
    </tableColumn>
    <tableColumn id="3" name="Degree" dataDxfId="772">
      <calculatedColumnFormula>IF(Table123142[[#This Row],[Course]]= "","",IFERROR(VLOOKUP(Table123142[[#This Row],[Course]],COURSELIST[],3,FALSE),""))</calculatedColumnFormula>
    </tableColumn>
    <tableColumn id="4" name="Credits" dataDxfId="771">
      <calculatedColumnFormula>IF(Table123142[[#This Row],[Course]]= "","",IFERROR(VLOOKUP(Table123142[[#This Row],[Course]],COURSELIST[],4,FALSE),""))</calculatedColumnFormula>
    </tableColumn>
    <tableColumn id="5" name=" " dataDxfId="770"/>
    <tableColumn id="6" name="Enrolled" dataDxfId="769">
      <calculatedColumnFormula>IF(Table123142[[#This Row],[Course]]= "","",IFERROR(VLOOKUP(Table123142[[#This Row],[Course]],COURSELIST[],6,FALSE),""))</calculatedColumnFormula>
    </tableColumn>
    <tableColumn id="7" name="Completed" dataDxfId="768">
      <calculatedColumnFormula>IF(Table123142[[#This Row],[Course]]= "","",IFERROR(VLOOKUP(Table123142[[#This Row],[Course]],COURSELIST[],7,FALSE),""))</calculatedColumnFormula>
    </tableColumn>
    <tableColumn id="8" name="GradePoints" dataDxfId="767">
      <calculatedColumnFormula>IF(Table123142[[#This Row],[Course]]= "","",IFERROR(VLOOKUP(Table123142[[#This Row],[Course]],COURSELIST[],8,FALSE),""))</calculatedColumnFormula>
    </tableColumn>
  </tableColumns>
  <tableStyleInfo name="TableStyleLight2" showFirstColumn="0" showLastColumn="0" showRowStripes="1" showColumnStripes="0"/>
</table>
</file>

<file path=xl/tables/table14.xml><?xml version="1.0" encoding="utf-8"?>
<table xmlns="http://schemas.openxmlformats.org/spreadsheetml/2006/main" id="42" name="Table133243" displayName="Table133243" ref="M32:T39" totalsRowShown="0" headerRowDxfId="766" dataDxfId="765">
  <autoFilter ref="M32:T39"/>
  <tableColumns count="8">
    <tableColumn id="1" name="Course" dataDxfId="764"/>
    <tableColumn id="2" name="Name" dataDxfId="763">
      <calculatedColumnFormula>IF(Table133243[[#This Row],[Course]]= "","",IFERROR(VLOOKUP(Table133243[[#This Row],[Course]],COURSELIST[],2,FALSE),"Course Not Found!"))</calculatedColumnFormula>
    </tableColumn>
    <tableColumn id="3" name="Degree" dataDxfId="762">
      <calculatedColumnFormula>IF(Table133243[[#This Row],[Course]]= "","",IFERROR(VLOOKUP(Table133243[[#This Row],[Course]],COURSELIST[],3,FALSE),""))</calculatedColumnFormula>
    </tableColumn>
    <tableColumn id="4" name="Credits" dataDxfId="761">
      <calculatedColumnFormula>IF(Table133243[[#This Row],[Course]]= "","",IFERROR(VLOOKUP(Table133243[[#This Row],[Course]],COURSELIST[],4,FALSE),""))</calculatedColumnFormula>
    </tableColumn>
    <tableColumn id="5" name=" " dataDxfId="760"/>
    <tableColumn id="6" name="Enrolled" dataDxfId="759">
      <calculatedColumnFormula>IF(Table133243[[#This Row],[Course]]= "","",IFERROR(VLOOKUP(Table133243[[#This Row],[Course]],COURSELIST[],6,FALSE),""))</calculatedColumnFormula>
    </tableColumn>
    <tableColumn id="7" name="Completed" dataDxfId="758">
      <calculatedColumnFormula>IF(Table133243[[#This Row],[Course]]= "","",IFERROR(VLOOKUP(Table133243[[#This Row],[Course]],COURSELIST[],7,FALSE),""))</calculatedColumnFormula>
    </tableColumn>
    <tableColumn id="8" name="GradePoints" dataDxfId="757">
      <calculatedColumnFormula>IF(Table133243[[#This Row],[Course]]= "","",IFERROR(VLOOKUP(Table133243[[#This Row],[Course]],COURSELIST[],8,FALSE),""))</calculatedColumnFormula>
    </tableColumn>
  </tableColumns>
  <tableStyleInfo name="TableStyleLight2" showFirstColumn="0" showLastColumn="0" showRowStripes="1" showColumnStripes="0"/>
</table>
</file>

<file path=xl/tables/table15.xml><?xml version="1.0" encoding="utf-8"?>
<table xmlns="http://schemas.openxmlformats.org/spreadsheetml/2006/main" id="43" name="Table143344" displayName="Table143344" ref="M46:T53" totalsRowShown="0" headerRowDxfId="756" dataDxfId="755">
  <autoFilter ref="M46:T53"/>
  <tableColumns count="8">
    <tableColumn id="1" name="Course" dataDxfId="644"/>
    <tableColumn id="2" name="Name" dataDxfId="645">
      <calculatedColumnFormula>IF(Table143344[[#This Row],[Course]]= "","",IFERROR(VLOOKUP(Table143344[[#This Row],[Course]],COURSELIST[],2,FALSE),"Course Not Found!"))</calculatedColumnFormula>
    </tableColumn>
    <tableColumn id="3" name="Degree" dataDxfId="754">
      <calculatedColumnFormula>IF(Table143344[[#This Row],[Course]]= "","",IFERROR(VLOOKUP(Table143344[[#This Row],[Course]],COURSELIST[],3,FALSE),""))</calculatedColumnFormula>
    </tableColumn>
    <tableColumn id="4" name="Credits" dataDxfId="753">
      <calculatedColumnFormula>IF(Table143344[[#This Row],[Course]]= "","",IFERROR(VLOOKUP(Table143344[[#This Row],[Course]],COURSELIST[],4,FALSE),""))</calculatedColumnFormula>
    </tableColumn>
    <tableColumn id="5" name=" " dataDxfId="752"/>
    <tableColumn id="6" name="Enrolled" dataDxfId="751">
      <calculatedColumnFormula>IF(Table143344[[#This Row],[Course]]= "","",IFERROR(VLOOKUP(Table143344[[#This Row],[Course]],COURSELIST[],6,FALSE),""))</calculatedColumnFormula>
    </tableColumn>
    <tableColumn id="7" name="Completed" dataDxfId="750">
      <calculatedColumnFormula>IF(Table143344[[#This Row],[Course]]= "","",IFERROR(VLOOKUP(Table143344[[#This Row],[Course]],COURSELIST[],7,FALSE),""))</calculatedColumnFormula>
    </tableColumn>
    <tableColumn id="8" name="GradePoints" dataDxfId="749">
      <calculatedColumnFormula>IF(Table143344[[#This Row],[Course]]= "","",IFERROR(VLOOKUP(Table143344[[#This Row],[Course]],COURSELIST[],8,FALSE),""))</calculatedColumnFormula>
    </tableColumn>
  </tableColumns>
  <tableStyleInfo name="TableStyleLight2" showFirstColumn="0" showLastColumn="0" showRowStripes="1" showColumnStripes="0"/>
</table>
</file>

<file path=xl/tables/table16.xml><?xml version="1.0" encoding="utf-8"?>
<table xmlns="http://schemas.openxmlformats.org/spreadsheetml/2006/main" id="47" name="Table3222148" displayName="Table3222148" ref="C60:J67" totalsRowShown="0" headerRowDxfId="748" dataDxfId="747">
  <autoFilter ref="C60:J67"/>
  <tableColumns count="8">
    <tableColumn id="1" name="Course" dataDxfId="746"/>
    <tableColumn id="2" name="Name" dataDxfId="745">
      <calculatedColumnFormula>IF(Table3222148[[#This Row],[Course]]= "","",IFERROR(VLOOKUP(Table3222148[[#This Row],[Course]],COURSELIST[],2,FALSE),"Course Not Found!"))</calculatedColumnFormula>
    </tableColumn>
    <tableColumn id="3" name="Degree" dataDxfId="744">
      <calculatedColumnFormula>IF(Table3222148[[#This Row],[Course]]= "","",IFERROR(VLOOKUP(Table3222148[[#This Row],[Course]],COURSELIST[],3,FALSE),""))</calculatedColumnFormula>
    </tableColumn>
    <tableColumn id="4" name="Credits" dataDxfId="743">
      <calculatedColumnFormula>IF(Table3222148[[#This Row],[Course]]= "","",IFERROR(VLOOKUP(Table3222148[[#This Row],[Course]],COURSELIST[],4,FALSE),""))</calculatedColumnFormula>
    </tableColumn>
    <tableColumn id="5" name=" " dataDxfId="742"/>
    <tableColumn id="6" name="Enrolled" dataDxfId="741">
      <calculatedColumnFormula>IF(Table3222148[[#This Row],[Course]]= "","",IFERROR(VLOOKUP(Table3222148[[#This Row],[Course]],COURSELIST[],6,FALSE),""))</calculatedColumnFormula>
    </tableColumn>
    <tableColumn id="7" name="Completed" dataDxfId="740">
      <calculatedColumnFormula>IF(Table3222148[[#This Row],[Course]]= "","",IFERROR(VLOOKUP(Table3222148[[#This Row],[Course]],COURSELIST[],7,FALSE),""))</calculatedColumnFormula>
    </tableColumn>
    <tableColumn id="8" name="GradePoints" dataDxfId="739">
      <calculatedColumnFormula>IF(Table3222148[[#This Row],[Course]]= "","",IFERROR(VLOOKUP(Table3222148[[#This Row],[Course]],COURSELIST[],8,FALSE),""))</calculatedColumnFormula>
    </tableColumn>
  </tableColumns>
  <tableStyleInfo name="TableStyleLight3" showFirstColumn="0" showLastColumn="0" showRowStripes="1" showColumnStripes="0"/>
</table>
</file>

<file path=xl/tables/table17.xml><?xml version="1.0" encoding="utf-8"?>
<table xmlns="http://schemas.openxmlformats.org/spreadsheetml/2006/main" id="48" name="Table9283949" displayName="Table9283949" ref="W60:AD67" totalsRowShown="0" headerRowDxfId="738" dataDxfId="737">
  <autoFilter ref="W60:AD67"/>
  <tableColumns count="8">
    <tableColumn id="1" name="Course" dataDxfId="736"/>
    <tableColumn id="2" name="Name" dataDxfId="735">
      <calculatedColumnFormula>IF(Table9283949[[#This Row],[Course]]= "","",IFERROR(VLOOKUP(Table9283949[[#This Row],[Course]],COURSELIST[],2,FALSE),"Course Not Found!"))</calculatedColumnFormula>
    </tableColumn>
    <tableColumn id="3" name="Degree" dataDxfId="734">
      <calculatedColumnFormula>IF(Table9283949[[#This Row],[Course]]= "","",IFERROR(VLOOKUP(Table9283949[[#This Row],[Course]],COURSELIST[],3,FALSE),""))</calculatedColumnFormula>
    </tableColumn>
    <tableColumn id="4" name="Credits" dataDxfId="733">
      <calculatedColumnFormula>IF(Table9283949[[#This Row],[Course]]= "","",IFERROR(VLOOKUP(Table9283949[[#This Row],[Course]],COURSELIST[],4,FALSE),""))</calculatedColumnFormula>
    </tableColumn>
    <tableColumn id="5" name=" " dataDxfId="732"/>
    <tableColumn id="6" name="Enrolled" dataDxfId="731">
      <calculatedColumnFormula>IF(Table9283949[[#This Row],[Course]]= "","",IFERROR(VLOOKUP(Table9283949[[#This Row],[Course]],COURSELIST[],6,FALSE),""))</calculatedColumnFormula>
    </tableColumn>
    <tableColumn id="7" name="Completed" dataDxfId="730">
      <calculatedColumnFormula>IF(Table9283949[[#This Row],[Course]]= "","",IFERROR(VLOOKUP(Table9283949[[#This Row],[Course]],COURSELIST[],7,FALSE),""))</calculatedColumnFormula>
    </tableColumn>
    <tableColumn id="8" name="GradePoints" dataDxfId="729">
      <calculatedColumnFormula>IF(Table9283949[[#This Row],[Course]]= "","",IFERROR(VLOOKUP(Table9283949[[#This Row],[Course]],COURSELIST[],8,FALSE),""))</calculatedColumnFormula>
    </tableColumn>
  </tableColumns>
  <tableStyleInfo name="TableStyleLight7" showFirstColumn="0" showLastColumn="0" showRowStripes="1" showColumnStripes="0"/>
</table>
</file>

<file path=xl/tables/table18.xml><?xml version="1.0" encoding="utf-8"?>
<table xmlns="http://schemas.openxmlformats.org/spreadsheetml/2006/main" id="49" name="Table14334450" displayName="Table14334450" ref="M60:T67" totalsRowShown="0" headerRowDxfId="728" dataDxfId="727">
  <autoFilter ref="M60:T67"/>
  <tableColumns count="8">
    <tableColumn id="1" name="Course" dataDxfId="726"/>
    <tableColumn id="2" name="Name" dataDxfId="725">
      <calculatedColumnFormula>IF(Table14334450[[#This Row],[Course]]= "","",IFERROR(VLOOKUP(Table14334450[[#This Row],[Course]],COURSELIST[],2,FALSE),"Course Not Found!"))</calculatedColumnFormula>
    </tableColumn>
    <tableColumn id="3" name="Degree" dataDxfId="724">
      <calculatedColumnFormula>IF(Table14334450[[#This Row],[Course]]= "","",IFERROR(VLOOKUP(Table14334450[[#This Row],[Course]],COURSELIST[],3,FALSE),""))</calculatedColumnFormula>
    </tableColumn>
    <tableColumn id="4" name="Credits" dataDxfId="723">
      <calculatedColumnFormula>IF(Table14334450[[#This Row],[Course]]= "","",IFERROR(VLOOKUP(Table14334450[[#This Row],[Course]],COURSELIST[],4,FALSE),""))</calculatedColumnFormula>
    </tableColumn>
    <tableColumn id="5" name=" " dataDxfId="722"/>
    <tableColumn id="6" name="Enrolled" dataDxfId="721">
      <calculatedColumnFormula>IF(Table14334450[[#This Row],[Course]]= "","",IFERROR(VLOOKUP(Table14334450[[#This Row],[Course]],COURSELIST[],6,FALSE),""))</calculatedColumnFormula>
    </tableColumn>
    <tableColumn id="7" name="Completed" dataDxfId="720">
      <calculatedColumnFormula>IF(Table14334450[[#This Row],[Course]]= "","",IFERROR(VLOOKUP(Table14334450[[#This Row],[Course]],COURSELIST[],7,FALSE),""))</calculatedColumnFormula>
    </tableColumn>
    <tableColumn id="8" name="GradePoints" dataDxfId="719">
      <calculatedColumnFormula>IF(Table14334450[[#This Row],[Course]]= "","",IFERROR(VLOOKUP(Table14334450[[#This Row],[Course]],COURSELIST[],8,FALSE),""))</calculatedColumnFormula>
    </tableColumn>
  </tableColumns>
  <tableStyleInfo name="TableStyleLight2" showFirstColumn="0" showLastColumn="0" showRowStripes="1" showColumnStripes="0"/>
</table>
</file>

<file path=xl/tables/table19.xml><?xml version="1.0" encoding="utf-8"?>
<table xmlns="http://schemas.openxmlformats.org/spreadsheetml/2006/main" id="51" name="Table928394952" displayName="Table928394952" ref="AG46:AN53" totalsRowShown="0" headerRowDxfId="718" dataDxfId="717">
  <autoFilter ref="AG46:AN53"/>
  <tableColumns count="8">
    <tableColumn id="1" name="Course" dataDxfId="716"/>
    <tableColumn id="2" name="Name" dataDxfId="715">
      <calculatedColumnFormula>IF(Table928394952[[#This Row],[Course]]= "","",IFERROR(VLOOKUP(Table928394952[[#This Row],[Course]],COURSELIST[],2,FALSE),"Course Not Found!"))</calculatedColumnFormula>
    </tableColumn>
    <tableColumn id="3" name="Degree" dataDxfId="714">
      <calculatedColumnFormula>IF(Table928394952[[#This Row],[Course]]= "","",IFERROR(VLOOKUP(Table928394952[[#This Row],[Course]],COURSELIST[],3,FALSE),""))</calculatedColumnFormula>
    </tableColumn>
    <tableColumn id="4" name="Credits" dataDxfId="713">
      <calculatedColumnFormula>IF(Table928394952[[#This Row],[Course]]= "","",IFERROR(VLOOKUP(Table928394952[[#This Row],[Course]],COURSELIST[],4,FALSE),""))</calculatedColumnFormula>
    </tableColumn>
    <tableColumn id="5" name=" " dataDxfId="712"/>
    <tableColumn id="6" name="Enrolled" dataDxfId="711">
      <calculatedColumnFormula>IF(Table928394952[[#This Row],[Course]]= "","",IFERROR(VLOOKUP(Table928394952[[#This Row],[Course]],COURSELIST[],6,FALSE),""))</calculatedColumnFormula>
    </tableColumn>
    <tableColumn id="7" name="Completed" dataDxfId="710">
      <calculatedColumnFormula>IF(Table928394952[[#This Row],[Course]]= "","",IFERROR(VLOOKUP(Table928394952[[#This Row],[Course]],COURSELIST[],7,FALSE),""))</calculatedColumnFormula>
    </tableColumn>
    <tableColumn id="8" name="GradePoints" dataDxfId="709">
      <calculatedColumnFormula>IF(Table928394952[[#This Row],[Course]]= "","",IFERROR(VLOOKUP(Table928394952[[#This Row],[Course]],COURSELIST[],8,FALSE),""))</calculatedColumnFormula>
    </tableColumn>
  </tableColumns>
  <tableStyleInfo name="TableStyleMedium5" showFirstColumn="0" showLastColumn="0" showRowStripes="1" showColumnStripes="0"/>
</table>
</file>

<file path=xl/tables/table20.xml><?xml version="1.0" encoding="utf-8"?>
<table xmlns="http://schemas.openxmlformats.org/spreadsheetml/2006/main" id="52" name="Table92839495253" displayName="Table92839495253" ref="AG32:AN39" totalsRowShown="0" headerRowDxfId="708" dataDxfId="707">
  <autoFilter ref="AG32:AN39"/>
  <tableColumns count="8">
    <tableColumn id="1" name="Course" dataDxfId="706"/>
    <tableColumn id="2" name="Name" dataDxfId="705">
      <calculatedColumnFormula>IF(Table92839495253[[#This Row],[Course]]= "","",IFERROR(VLOOKUP(Table92839495253[[#This Row],[Course]],COURSELIST[],2,FALSE),"Course Not Found!"))</calculatedColumnFormula>
    </tableColumn>
    <tableColumn id="3" name="Degree" dataDxfId="704">
      <calculatedColumnFormula>IF(Table92839495253[[#This Row],[Course]]= "","",IFERROR(VLOOKUP(Table92839495253[[#This Row],[Course]],COURSELIST[],3,FALSE),""))</calculatedColumnFormula>
    </tableColumn>
    <tableColumn id="4" name="Credits" dataDxfId="703">
      <calculatedColumnFormula>IF(Table92839495253[[#This Row],[Course]]= "","",IFERROR(VLOOKUP(Table92839495253[[#This Row],[Course]],COURSELIST[],4,FALSE),""))</calculatedColumnFormula>
    </tableColumn>
    <tableColumn id="5" name=" " dataDxfId="702"/>
    <tableColumn id="6" name="Enrolled" dataDxfId="701">
      <calculatedColumnFormula>IF(Table92839495253[[#This Row],[Course]]= "","",IFERROR(VLOOKUP(Table92839495253[[#This Row],[Course]],COURSELIST[],6,FALSE),""))</calculatedColumnFormula>
    </tableColumn>
    <tableColumn id="7" name="Completed" dataDxfId="700">
      <calculatedColumnFormula>IF(Table92839495253[[#This Row],[Course]]= "","",IFERROR(VLOOKUP(Table92839495253[[#This Row],[Course]],COURSELIST[],7,FALSE),""))</calculatedColumnFormula>
    </tableColumn>
    <tableColumn id="8" name="GradePoints" dataDxfId="699">
      <calculatedColumnFormula>IF(Table92839495253[[#This Row],[Course]]= "","",IFERROR(VLOOKUP(Table92839495253[[#This Row],[Course]],COURSELIST[],8,FALSE),""))</calculatedColumnFormula>
    </tableColumn>
  </tableColumns>
  <tableStyleInfo name="TableStyleMedium5" showFirstColumn="0" showLastColumn="0" showRowStripes="1" showColumnStripes="0"/>
</table>
</file>

<file path=xl/tables/table21.xml><?xml version="1.0" encoding="utf-8"?>
<table xmlns="http://schemas.openxmlformats.org/spreadsheetml/2006/main" id="53" name="Table9283949525354" displayName="Table9283949525354" ref="AG18:AN25" totalsRowShown="0" headerRowDxfId="698" dataDxfId="697">
  <autoFilter ref="AG18:AN25"/>
  <tableColumns count="8">
    <tableColumn id="1" name="Course" dataDxfId="696"/>
    <tableColumn id="2" name="Name" dataDxfId="695">
      <calculatedColumnFormula>IF(Table9283949525354[[#This Row],[Course]]= "","",IFERROR(VLOOKUP(Table9283949525354[[#This Row],[Course]],COURSELIST[],2,FALSE),"Course Not Found!"))</calculatedColumnFormula>
    </tableColumn>
    <tableColumn id="3" name="Degree" dataDxfId="694">
      <calculatedColumnFormula>IF(Table9283949525354[[#This Row],[Course]]= "","",IFERROR(VLOOKUP(Table9283949525354[[#This Row],[Course]],COURSELIST[],3,FALSE),""))</calculatedColumnFormula>
    </tableColumn>
    <tableColumn id="4" name="Credits" dataDxfId="693">
      <calculatedColumnFormula>IF(Table9283949525354[[#This Row],[Course]]= "","",IFERROR(VLOOKUP(Table9283949525354[[#This Row],[Course]],COURSELIST[],4,FALSE),""))</calculatedColumnFormula>
    </tableColumn>
    <tableColumn id="5" name=" " dataDxfId="692"/>
    <tableColumn id="6" name="Enrolled" dataDxfId="691">
      <calculatedColumnFormula>IF(Table9283949525354[[#This Row],[Course]]= "","",IFERROR(VLOOKUP(Table9283949525354[[#This Row],[Course]],COURSELIST[],6,FALSE),""))</calculatedColumnFormula>
    </tableColumn>
    <tableColumn id="7" name="Completed" dataDxfId="690">
      <calculatedColumnFormula>IF(Table9283949525354[[#This Row],[Course]]= "","",IFERROR(VLOOKUP(Table9283949525354[[#This Row],[Course]],COURSELIST[],7,FALSE),""))</calculatedColumnFormula>
    </tableColumn>
    <tableColumn id="8" name="GradePoints" dataDxfId="689">
      <calculatedColumnFormula>IF(Table9283949525354[[#This Row],[Course]]= "","",IFERROR(VLOOKUP(Table9283949525354[[#This Row],[Course]],COURSELIST[],8,FALSE),""))</calculatedColumnFormula>
    </tableColumn>
  </tableColumns>
  <tableStyleInfo name="TableStyleMedium5" showFirstColumn="0" showLastColumn="0" showRowStripes="1" showColumnStripes="0"/>
</table>
</file>

<file path=xl/tables/table22.xml><?xml version="1.0" encoding="utf-8"?>
<table xmlns="http://schemas.openxmlformats.org/spreadsheetml/2006/main" id="54" name="Table92839495255" displayName="Table92839495255" ref="AG60:AN67" totalsRowShown="0" headerRowDxfId="688" dataDxfId="687">
  <autoFilter ref="AG60:AN67"/>
  <tableColumns count="8">
    <tableColumn id="1" name="Course" dataDxfId="686"/>
    <tableColumn id="2" name="Name" dataDxfId="685">
      <calculatedColumnFormula>IF(Table92839495255[[#This Row],[Course]]= "","",IFERROR(VLOOKUP(Table92839495255[[#This Row],[Course]],COURSELIST[],2,FALSE),"Course Not Found!"))</calculatedColumnFormula>
    </tableColumn>
    <tableColumn id="3" name="Degree" dataDxfId="684">
      <calculatedColumnFormula>IF(Table92839495255[[#This Row],[Course]]= "","",IFERROR(VLOOKUP(Table92839495255[[#This Row],[Course]],COURSELIST[],3,FALSE),""))</calculatedColumnFormula>
    </tableColumn>
    <tableColumn id="4" name="Credits" dataDxfId="683">
      <calculatedColumnFormula>IF(Table92839495255[[#This Row],[Course]]= "","",IFERROR(VLOOKUP(Table92839495255[[#This Row],[Course]],COURSELIST[],4,FALSE),""))</calculatedColumnFormula>
    </tableColumn>
    <tableColumn id="5" name=" " dataDxfId="682"/>
    <tableColumn id="6" name="Enrolled" dataDxfId="681">
      <calculatedColumnFormula>IF(Table92839495255[[#This Row],[Course]]= "","",IFERROR(VLOOKUP(Table92839495255[[#This Row],[Course]],COURSELIST[],6,FALSE),""))</calculatedColumnFormula>
    </tableColumn>
    <tableColumn id="7" name="Completed" dataDxfId="680">
      <calculatedColumnFormula>IF(Table92839495255[[#This Row],[Course]]= "","",IFERROR(VLOOKUP(Table92839495255[[#This Row],[Course]],COURSELIST[],7,FALSE),""))</calculatedColumnFormula>
    </tableColumn>
    <tableColumn id="8" name="GradePoints" dataDxfId="679">
      <calculatedColumnFormula>IF(Table92839495255[[#This Row],[Course]]= "","",IFERROR(VLOOKUP(Table92839495255[[#This Row],[Course]],COURSELIST[],8,FALSE),""))</calculatedColumnFormula>
    </tableColumn>
  </tableColumns>
  <tableStyleInfo name="TableStyleMedium5" showFirstColumn="0" showLastColumn="0" showRowStripes="1" showColumnStripes="0"/>
</table>
</file>

<file path=xl/tables/table23.xml><?xml version="1.0" encoding="utf-8"?>
<table xmlns="http://schemas.openxmlformats.org/spreadsheetml/2006/main" id="1" name="Table92839495253542" displayName="Table92839495253542" ref="AG3:AN10" totalsRowShown="0" headerRowDxfId="678" dataDxfId="677">
  <autoFilter ref="AG3:AN10"/>
  <tableColumns count="8">
    <tableColumn id="1" name="Course" dataDxfId="676"/>
    <tableColumn id="2" name="Name" dataDxfId="675">
      <calculatedColumnFormula>IF(Table92839495253542[[#This Row],[Course]]= "","",IFERROR(VLOOKUP(Table92839495253542[[#This Row],[Course]],COURSELIST[],2,FALSE),"Course Not Found!"))</calculatedColumnFormula>
    </tableColumn>
    <tableColumn id="3" name="Degree" dataDxfId="674">
      <calculatedColumnFormula>IF(Table92839495253542[[#This Row],[Course]]= "","",IFERROR(VLOOKUP(Table92839495253542[[#This Row],[Course]],COURSELIST[],3,FALSE),""))</calculatedColumnFormula>
    </tableColumn>
    <tableColumn id="4" name="Credits" dataDxfId="673">
      <calculatedColumnFormula>IF(Table92839495253542[[#This Row],[Course]]= "","",IFERROR(VLOOKUP(Table92839495253542[[#This Row],[Course]],COURSELIST[],4,FALSE),""))</calculatedColumnFormula>
    </tableColumn>
    <tableColumn id="5" name=" " dataDxfId="672"/>
    <tableColumn id="6" name="Enrolled" dataDxfId="671">
      <calculatedColumnFormula>IF(Table92839495253542[[#This Row],[Course]]= "","",IFERROR(VLOOKUP(Table92839495253542[[#This Row],[Course]],COURSELIST[],6,FALSE),""))</calculatedColumnFormula>
    </tableColumn>
    <tableColumn id="7" name="Completed" dataDxfId="670">
      <calculatedColumnFormula>IF(Table92839495253542[[#This Row],[Course]]= "","",IFERROR(VLOOKUP(Table92839495253542[[#This Row],[Course]],COURSELIST[],7,FALSE),""))</calculatedColumnFormula>
    </tableColumn>
    <tableColumn id="8" name="GradePoints" dataDxfId="669">
      <calculatedColumnFormula>IF(Table92839495253542[[#This Row],[Course]]= "","",IFERROR(VLOOKUP(Table92839495253542[[#This Row],[Course]],COURSELIST[],8,FALSE),""))</calculatedColumnFormula>
    </tableColumn>
  </tableColumns>
  <tableStyleInfo name="TableStyleMedium5" showFirstColumn="0" showLastColumn="0" showRowStripes="1" showColumnStripes="0"/>
</table>
</file>

<file path=xl/tables/table24.xml><?xml version="1.0" encoding="utf-8"?>
<table xmlns="http://schemas.openxmlformats.org/spreadsheetml/2006/main" id="3" name="Table32221484" displayName="Table32221484" ref="C74:J81" totalsRowShown="0" headerRowDxfId="191" dataDxfId="190">
  <autoFilter ref="C74:J81"/>
  <tableColumns count="8">
    <tableColumn id="1" name="Course" dataDxfId="189"/>
    <tableColumn id="2" name="Name" dataDxfId="188">
      <calculatedColumnFormula>IF(Table32221484[[#This Row],[Course]]= "","",IFERROR(VLOOKUP(Table32221484[[#This Row],[Course]],COURSELIST[],2,FALSE),"Course Not Found!"))</calculatedColumnFormula>
    </tableColumn>
    <tableColumn id="3" name="Degree" dataDxfId="187">
      <calculatedColumnFormula>IF(Table32221484[[#This Row],[Course]]= "","",IFERROR(VLOOKUP(Table32221484[[#This Row],[Course]],COURSELIST[],3,FALSE),""))</calculatedColumnFormula>
    </tableColumn>
    <tableColumn id="4" name="Credits" dataDxfId="186">
      <calculatedColumnFormula>IF(Table32221484[[#This Row],[Course]]= "","",IFERROR(VLOOKUP(Table32221484[[#This Row],[Course]],COURSELIST[],4,FALSE),""))</calculatedColumnFormula>
    </tableColumn>
    <tableColumn id="5" name=" " dataDxfId="185"/>
    <tableColumn id="6" name="Enrolled" dataDxfId="184">
      <calculatedColumnFormula>IF(Table32221484[[#This Row],[Course]]= "","",IFERROR(VLOOKUP(Table32221484[[#This Row],[Course]],COURSELIST[],6,FALSE),""))</calculatedColumnFormula>
    </tableColumn>
    <tableColumn id="7" name="Completed" dataDxfId="183">
      <calculatedColumnFormula>IF(Table32221484[[#This Row],[Course]]= "","",IFERROR(VLOOKUP(Table32221484[[#This Row],[Course]],COURSELIST[],7,FALSE),""))</calculatedColumnFormula>
    </tableColumn>
    <tableColumn id="8" name="GradePoints" dataDxfId="182">
      <calculatedColumnFormula>IF(Table32221484[[#This Row],[Course]]= "","",IFERROR(VLOOKUP(Table32221484[[#This Row],[Course]],COURSELIST[],8,FALSE),""))</calculatedColumnFormula>
    </tableColumn>
  </tableColumns>
  <tableStyleInfo name="TableStyleLight3" showFirstColumn="0" showLastColumn="0" showRowStripes="1" showColumnStripes="0"/>
</table>
</file>

<file path=xl/tables/table25.xml><?xml version="1.0" encoding="utf-8"?>
<table xmlns="http://schemas.openxmlformats.org/spreadsheetml/2006/main" id="4" name="Table92839495" displayName="Table92839495" ref="W74:AD81" totalsRowShown="0" headerRowDxfId="181" dataDxfId="180">
  <autoFilter ref="W74:AD81"/>
  <tableColumns count="8">
    <tableColumn id="1" name="Course" dataDxfId="179"/>
    <tableColumn id="2" name="Name" dataDxfId="178">
      <calculatedColumnFormula>IF(Table92839495[[#This Row],[Course]]= "","",IFERROR(VLOOKUP(Table92839495[[#This Row],[Course]],COURSELIST[],2,FALSE),"Course Not Found!"))</calculatedColumnFormula>
    </tableColumn>
    <tableColumn id="3" name="Degree" dataDxfId="177">
      <calculatedColumnFormula>IF(Table92839495[[#This Row],[Course]]= "","",IFERROR(VLOOKUP(Table92839495[[#This Row],[Course]],COURSELIST[],3,FALSE),""))</calculatedColumnFormula>
    </tableColumn>
    <tableColumn id="4" name="Credits" dataDxfId="176">
      <calculatedColumnFormula>IF(Table92839495[[#This Row],[Course]]= "","",IFERROR(VLOOKUP(Table92839495[[#This Row],[Course]],COURSELIST[],4,FALSE),""))</calculatedColumnFormula>
    </tableColumn>
    <tableColumn id="5" name=" " dataDxfId="175"/>
    <tableColumn id="6" name="Enrolled" dataDxfId="174">
      <calculatedColumnFormula>IF(Table92839495[[#This Row],[Course]]= "","",IFERROR(VLOOKUP(Table92839495[[#This Row],[Course]],COURSELIST[],6,FALSE),""))</calculatedColumnFormula>
    </tableColumn>
    <tableColumn id="7" name="Completed" dataDxfId="173">
      <calculatedColumnFormula>IF(Table92839495[[#This Row],[Course]]= "","",IFERROR(VLOOKUP(Table92839495[[#This Row],[Course]],COURSELIST[],7,FALSE),""))</calculatedColumnFormula>
    </tableColumn>
    <tableColumn id="8" name="GradePoints" dataDxfId="172">
      <calculatedColumnFormula>IF(Table92839495[[#This Row],[Course]]= "","",IFERROR(VLOOKUP(Table92839495[[#This Row],[Course]],COURSELIST[],8,FALSE),""))</calculatedColumnFormula>
    </tableColumn>
  </tableColumns>
  <tableStyleInfo name="TableStyleLight7" showFirstColumn="0" showLastColumn="0" showRowStripes="1" showColumnStripes="0"/>
</table>
</file>

<file path=xl/tables/table26.xml><?xml version="1.0" encoding="utf-8"?>
<table xmlns="http://schemas.openxmlformats.org/spreadsheetml/2006/main" id="5" name="Table143344506" displayName="Table143344506" ref="M74:T81" totalsRowShown="0" headerRowDxfId="171" dataDxfId="170">
  <autoFilter ref="M74:T81"/>
  <tableColumns count="8">
    <tableColumn id="1" name="Course" dataDxfId="169"/>
    <tableColumn id="2" name="Name" dataDxfId="168">
      <calculatedColumnFormula>IF(Table143344506[[#This Row],[Course]]= "","",IFERROR(VLOOKUP(Table143344506[[#This Row],[Course]],COURSELIST[],2,FALSE),"Course Not Found!"))</calculatedColumnFormula>
    </tableColumn>
    <tableColumn id="3" name="Degree" dataDxfId="167">
      <calculatedColumnFormula>IF(Table143344506[[#This Row],[Course]]= "","",IFERROR(VLOOKUP(Table143344506[[#This Row],[Course]],COURSELIST[],3,FALSE),""))</calculatedColumnFormula>
    </tableColumn>
    <tableColumn id="4" name="Credits" dataDxfId="166">
      <calculatedColumnFormula>IF(Table143344506[[#This Row],[Course]]= "","",IFERROR(VLOOKUP(Table143344506[[#This Row],[Course]],COURSELIST[],4,FALSE),""))</calculatedColumnFormula>
    </tableColumn>
    <tableColumn id="5" name=" " dataDxfId="165"/>
    <tableColumn id="6" name="Enrolled" dataDxfId="164">
      <calculatedColumnFormula>IF(Table143344506[[#This Row],[Course]]= "","",IFERROR(VLOOKUP(Table143344506[[#This Row],[Course]],COURSELIST[],6,FALSE),""))</calculatedColumnFormula>
    </tableColumn>
    <tableColumn id="7" name="Completed" dataDxfId="163">
      <calculatedColumnFormula>IF(Table143344506[[#This Row],[Course]]= "","",IFERROR(VLOOKUP(Table143344506[[#This Row],[Course]],COURSELIST[],7,FALSE),""))</calculatedColumnFormula>
    </tableColumn>
    <tableColumn id="8" name="GradePoints" dataDxfId="162">
      <calculatedColumnFormula>IF(Table143344506[[#This Row],[Course]]= "","",IFERROR(VLOOKUP(Table143344506[[#This Row],[Course]],COURSELIST[],8,FALSE),""))</calculatedColumnFormula>
    </tableColumn>
  </tableColumns>
  <tableStyleInfo name="TableStyleLight2" showFirstColumn="0" showLastColumn="0" showRowStripes="1" showColumnStripes="0"/>
</table>
</file>

<file path=xl/tables/table27.xml><?xml version="1.0" encoding="utf-8"?>
<table xmlns="http://schemas.openxmlformats.org/spreadsheetml/2006/main" id="6" name="Table928394952557" displayName="Table928394952557" ref="AG74:AN81" totalsRowShown="0" headerRowDxfId="161" dataDxfId="160">
  <autoFilter ref="AG74:AN81"/>
  <tableColumns count="8">
    <tableColumn id="1" name="Course" dataDxfId="159"/>
    <tableColumn id="2" name="Name" dataDxfId="158">
      <calculatedColumnFormula>IF(Table928394952557[[#This Row],[Course]]= "","",IFERROR(VLOOKUP(Table928394952557[[#This Row],[Course]],COURSELIST[],2,FALSE),"Course Not Found!"))</calculatedColumnFormula>
    </tableColumn>
    <tableColumn id="3" name="Degree" dataDxfId="157">
      <calculatedColumnFormula>IF(Table928394952557[[#This Row],[Course]]= "","",IFERROR(VLOOKUP(Table928394952557[[#This Row],[Course]],COURSELIST[],3,FALSE),""))</calculatedColumnFormula>
    </tableColumn>
    <tableColumn id="4" name="Credits" dataDxfId="156">
      <calculatedColumnFormula>IF(Table928394952557[[#This Row],[Course]]= "","",IFERROR(VLOOKUP(Table928394952557[[#This Row],[Course]],COURSELIST[],4,FALSE),""))</calculatedColumnFormula>
    </tableColumn>
    <tableColumn id="5" name=" " dataDxfId="155"/>
    <tableColumn id="6" name="Enrolled" dataDxfId="154">
      <calculatedColumnFormula>IF(Table928394952557[[#This Row],[Course]]= "","",IFERROR(VLOOKUP(Table928394952557[[#This Row],[Course]],COURSELIST[],6,FALSE),""))</calculatedColumnFormula>
    </tableColumn>
    <tableColumn id="7" name="Completed" dataDxfId="153">
      <calculatedColumnFormula>IF(Table928394952557[[#This Row],[Course]]= "","",IFERROR(VLOOKUP(Table928394952557[[#This Row],[Course]],COURSELIST[],7,FALSE),""))</calculatedColumnFormula>
    </tableColumn>
    <tableColumn id="8" name="GradePoints" dataDxfId="152">
      <calculatedColumnFormula>IF(Table928394952557[[#This Row],[Course]]= "","",IFERROR(VLOOKUP(Table928394952557[[#This Row],[Course]],COURSELIST[],8,FALSE),""))</calculatedColumnFormula>
    </tableColumn>
  </tableColumns>
  <tableStyleInfo name="TableStyleMedium5" showFirstColumn="0" showLastColumn="0" showRowStripes="1" showColumnStripes="0"/>
</table>
</file>

<file path=xl/tables/table28.xml><?xml version="1.0" encoding="utf-8"?>
<table xmlns="http://schemas.openxmlformats.org/spreadsheetml/2006/main" id="7" name="Table32221488" displayName="Table32221488" ref="C88:J95" totalsRowShown="0" headerRowDxfId="115" dataDxfId="114">
  <autoFilter ref="C88:J95"/>
  <tableColumns count="8">
    <tableColumn id="1" name="Course" dataDxfId="113"/>
    <tableColumn id="2" name="Name" dataDxfId="112">
      <calculatedColumnFormula>IF(Table32221488[[#This Row],[Course]]= "","",IFERROR(VLOOKUP(Table32221488[[#This Row],[Course]],COURSELIST[],2,FALSE),"Course Not Found!"))</calculatedColumnFormula>
    </tableColumn>
    <tableColumn id="3" name="Degree" dataDxfId="111">
      <calculatedColumnFormula>IF(Table32221488[[#This Row],[Course]]= "","",IFERROR(VLOOKUP(Table32221488[[#This Row],[Course]],COURSELIST[],3,FALSE),""))</calculatedColumnFormula>
    </tableColumn>
    <tableColumn id="4" name="Credits" dataDxfId="110">
      <calculatedColumnFormula>IF(Table32221488[[#This Row],[Course]]= "","",IFERROR(VLOOKUP(Table32221488[[#This Row],[Course]],COURSELIST[],4,FALSE),""))</calculatedColumnFormula>
    </tableColumn>
    <tableColumn id="5" name=" " dataDxfId="109"/>
    <tableColumn id="6" name="Enrolled" dataDxfId="108">
      <calculatedColumnFormula>IF(Table32221488[[#This Row],[Course]]= "","",IFERROR(VLOOKUP(Table32221488[[#This Row],[Course]],COURSELIST[],6,FALSE),""))</calculatedColumnFormula>
    </tableColumn>
    <tableColumn id="7" name="Completed" dataDxfId="107">
      <calculatedColumnFormula>IF(Table32221488[[#This Row],[Course]]= "","",IFERROR(VLOOKUP(Table32221488[[#This Row],[Course]],COURSELIST[],7,FALSE),""))</calculatedColumnFormula>
    </tableColumn>
    <tableColumn id="8" name="GradePoints" dataDxfId="106">
      <calculatedColumnFormula>IF(Table32221488[[#This Row],[Course]]= "","",IFERROR(VLOOKUP(Table32221488[[#This Row],[Course]],COURSELIST[],8,FALSE),""))</calculatedColumnFormula>
    </tableColumn>
  </tableColumns>
  <tableStyleInfo name="TableStyleLight3" showFirstColumn="0" showLastColumn="0" showRowStripes="1" showColumnStripes="0"/>
</table>
</file>

<file path=xl/tables/table29.xml><?xml version="1.0" encoding="utf-8"?>
<table xmlns="http://schemas.openxmlformats.org/spreadsheetml/2006/main" id="8" name="Table92839499" displayName="Table92839499" ref="W88:AD95" totalsRowShown="0" headerRowDxfId="105" dataDxfId="104">
  <autoFilter ref="W88:AD95"/>
  <tableColumns count="8">
    <tableColumn id="1" name="Course" dataDxfId="103"/>
    <tableColumn id="2" name="Name" dataDxfId="102">
      <calculatedColumnFormula>IF(Table92839499[[#This Row],[Course]]= "","",IFERROR(VLOOKUP(Table92839499[[#This Row],[Course]],COURSELIST[],2,FALSE),"Course Not Found!"))</calculatedColumnFormula>
    </tableColumn>
    <tableColumn id="3" name="Degree" dataDxfId="101">
      <calculatedColumnFormula>IF(Table92839499[[#This Row],[Course]]= "","",IFERROR(VLOOKUP(Table92839499[[#This Row],[Course]],COURSELIST[],3,FALSE),""))</calculatedColumnFormula>
    </tableColumn>
    <tableColumn id="4" name="Credits" dataDxfId="100">
      <calculatedColumnFormula>IF(Table92839499[[#This Row],[Course]]= "","",IFERROR(VLOOKUP(Table92839499[[#This Row],[Course]],COURSELIST[],4,FALSE),""))</calculatedColumnFormula>
    </tableColumn>
    <tableColumn id="5" name=" " dataDxfId="99"/>
    <tableColumn id="6" name="Enrolled" dataDxfId="98">
      <calculatedColumnFormula>IF(Table92839499[[#This Row],[Course]]= "","",IFERROR(VLOOKUP(Table92839499[[#This Row],[Course]],COURSELIST[],6,FALSE),""))</calculatedColumnFormula>
    </tableColumn>
    <tableColumn id="7" name="Completed" dataDxfId="97">
      <calculatedColumnFormula>IF(Table92839499[[#This Row],[Course]]= "","",IFERROR(VLOOKUP(Table92839499[[#This Row],[Course]],COURSELIST[],7,FALSE),""))</calculatedColumnFormula>
    </tableColumn>
    <tableColumn id="8" name="GradePoints" dataDxfId="96">
      <calculatedColumnFormula>IF(Table92839499[[#This Row],[Course]]= "","",IFERROR(VLOOKUP(Table92839499[[#This Row],[Course]],COURSELIST[],8,FALSE),""))</calculatedColumnFormula>
    </tableColumn>
  </tableColumns>
  <tableStyleInfo name="TableStyleLight7" showFirstColumn="0" showLastColumn="0" showRowStripes="1" showColumnStripes="0"/>
</table>
</file>

<file path=xl/tables/table30.xml><?xml version="1.0" encoding="utf-8"?>
<table xmlns="http://schemas.openxmlformats.org/spreadsheetml/2006/main" id="9" name="Table1433445010" displayName="Table1433445010" ref="M88:T95" totalsRowShown="0" headerRowDxfId="95" dataDxfId="94">
  <autoFilter ref="M88:T95"/>
  <tableColumns count="8">
    <tableColumn id="1" name="Course" dataDxfId="93"/>
    <tableColumn id="2" name="Name" dataDxfId="92">
      <calculatedColumnFormula>IF(Table1433445010[[#This Row],[Course]]= "","",IFERROR(VLOOKUP(Table1433445010[[#This Row],[Course]],COURSELIST[],2,FALSE),"Course Not Found!"))</calculatedColumnFormula>
    </tableColumn>
    <tableColumn id="3" name="Degree" dataDxfId="91">
      <calculatedColumnFormula>IF(Table1433445010[[#This Row],[Course]]= "","",IFERROR(VLOOKUP(Table1433445010[[#This Row],[Course]],COURSELIST[],3,FALSE),""))</calculatedColumnFormula>
    </tableColumn>
    <tableColumn id="4" name="Credits" dataDxfId="90">
      <calculatedColumnFormula>IF(Table1433445010[[#This Row],[Course]]= "","",IFERROR(VLOOKUP(Table1433445010[[#This Row],[Course]],COURSELIST[],4,FALSE),""))</calculatedColumnFormula>
    </tableColumn>
    <tableColumn id="5" name=" " dataDxfId="89"/>
    <tableColumn id="6" name="Enrolled" dataDxfId="88">
      <calculatedColumnFormula>IF(Table1433445010[[#This Row],[Course]]= "","",IFERROR(VLOOKUP(Table1433445010[[#This Row],[Course]],COURSELIST[],6,FALSE),""))</calculatedColumnFormula>
    </tableColumn>
    <tableColumn id="7" name="Completed" dataDxfId="87">
      <calculatedColumnFormula>IF(Table1433445010[[#This Row],[Course]]= "","",IFERROR(VLOOKUP(Table1433445010[[#This Row],[Course]],COURSELIST[],7,FALSE),""))</calculatedColumnFormula>
    </tableColumn>
    <tableColumn id="8" name="GradePoints" dataDxfId="86">
      <calculatedColumnFormula>IF(Table1433445010[[#This Row],[Course]]= "","",IFERROR(VLOOKUP(Table1433445010[[#This Row],[Course]],COURSELIST[],8,FALSE),""))</calculatedColumnFormula>
    </tableColumn>
  </tableColumns>
  <tableStyleInfo name="TableStyleLight2" showFirstColumn="0" showLastColumn="0" showRowStripes="1" showColumnStripes="0"/>
</table>
</file>

<file path=xl/tables/table31.xml><?xml version="1.0" encoding="utf-8"?>
<table xmlns="http://schemas.openxmlformats.org/spreadsheetml/2006/main" id="10" name="Table9283949525511" displayName="Table9283949525511" ref="AG88:AN95" totalsRowShown="0" headerRowDxfId="85" dataDxfId="84">
  <autoFilter ref="AG88:AN95"/>
  <tableColumns count="8">
    <tableColumn id="1" name="Course" dataDxfId="83"/>
    <tableColumn id="2" name="Name" dataDxfId="82">
      <calculatedColumnFormula>IF(Table9283949525511[[#This Row],[Course]]= "","",IFERROR(VLOOKUP(Table9283949525511[[#This Row],[Course]],COURSELIST[],2,FALSE),"Course Not Found!"))</calculatedColumnFormula>
    </tableColumn>
    <tableColumn id="3" name="Degree" dataDxfId="81">
      <calculatedColumnFormula>IF(Table9283949525511[[#This Row],[Course]]= "","",IFERROR(VLOOKUP(Table9283949525511[[#This Row],[Course]],COURSELIST[],3,FALSE),""))</calculatedColumnFormula>
    </tableColumn>
    <tableColumn id="4" name="Credits" dataDxfId="80">
      <calculatedColumnFormula>IF(Table9283949525511[[#This Row],[Course]]= "","",IFERROR(VLOOKUP(Table9283949525511[[#This Row],[Course]],COURSELIST[],4,FALSE),""))</calculatedColumnFormula>
    </tableColumn>
    <tableColumn id="5" name=" " dataDxfId="79"/>
    <tableColumn id="6" name="Enrolled" dataDxfId="78">
      <calculatedColumnFormula>IF(Table9283949525511[[#This Row],[Course]]= "","",IFERROR(VLOOKUP(Table9283949525511[[#This Row],[Course]],COURSELIST[],6,FALSE),""))</calculatedColumnFormula>
    </tableColumn>
    <tableColumn id="7" name="Completed" dataDxfId="77">
      <calculatedColumnFormula>IF(Table9283949525511[[#This Row],[Course]]= "","",IFERROR(VLOOKUP(Table9283949525511[[#This Row],[Course]],COURSELIST[],7,FALSE),""))</calculatedColumnFormula>
    </tableColumn>
    <tableColumn id="8" name="GradePoints" dataDxfId="76">
      <calculatedColumnFormula>IF(Table9283949525511[[#This Row],[Course]]= "","",IFERROR(VLOOKUP(Table9283949525511[[#This Row],[Course]],COURSELIST[],8,FALSE),""))</calculatedColumnFormula>
    </tableColumn>
  </tableColumns>
  <tableStyleInfo name="TableStyleMedium5" showFirstColumn="0" showLastColumn="0" showRowStripes="1" showColumnStripes="0"/>
</table>
</file>

<file path=xl/tables/table32.xml><?xml version="1.0" encoding="utf-8"?>
<table xmlns="http://schemas.openxmlformats.org/spreadsheetml/2006/main" id="11" name="Table322214812" displayName="Table322214812" ref="C102:J109" totalsRowShown="0" headerRowDxfId="39" dataDxfId="38">
  <autoFilter ref="C102:J109"/>
  <tableColumns count="8">
    <tableColumn id="1" name="Course" dataDxfId="37"/>
    <tableColumn id="2" name="Name" dataDxfId="36">
      <calculatedColumnFormula>IF(Table322214812[[#This Row],[Course]]= "","",IFERROR(VLOOKUP(Table322214812[[#This Row],[Course]],COURSELIST[],2,FALSE),"Course Not Found!"))</calculatedColumnFormula>
    </tableColumn>
    <tableColumn id="3" name="Degree" dataDxfId="35">
      <calculatedColumnFormula>IF(Table322214812[[#This Row],[Course]]= "","",IFERROR(VLOOKUP(Table322214812[[#This Row],[Course]],COURSELIST[],3,FALSE),""))</calculatedColumnFormula>
    </tableColumn>
    <tableColumn id="4" name="Credits" dataDxfId="34">
      <calculatedColumnFormula>IF(Table322214812[[#This Row],[Course]]= "","",IFERROR(VLOOKUP(Table322214812[[#This Row],[Course]],COURSELIST[],4,FALSE),""))</calculatedColumnFormula>
    </tableColumn>
    <tableColumn id="5" name=" " dataDxfId="33"/>
    <tableColumn id="6" name="Enrolled" dataDxfId="32">
      <calculatedColumnFormula>IF(Table322214812[[#This Row],[Course]]= "","",IFERROR(VLOOKUP(Table322214812[[#This Row],[Course]],COURSELIST[],6,FALSE),""))</calculatedColumnFormula>
    </tableColumn>
    <tableColumn id="7" name="Completed" dataDxfId="31">
      <calculatedColumnFormula>IF(Table322214812[[#This Row],[Course]]= "","",IFERROR(VLOOKUP(Table322214812[[#This Row],[Course]],COURSELIST[],7,FALSE),""))</calculatedColumnFormula>
    </tableColumn>
    <tableColumn id="8" name="GradePoints" dataDxfId="30">
      <calculatedColumnFormula>IF(Table322214812[[#This Row],[Course]]= "","",IFERROR(VLOOKUP(Table322214812[[#This Row],[Course]],COURSELIST[],8,FALSE),""))</calculatedColumnFormula>
    </tableColumn>
  </tableColumns>
  <tableStyleInfo name="TableStyleLight3" showFirstColumn="0" showLastColumn="0" showRowStripes="1" showColumnStripes="0"/>
</table>
</file>

<file path=xl/tables/table33.xml><?xml version="1.0" encoding="utf-8"?>
<table xmlns="http://schemas.openxmlformats.org/spreadsheetml/2006/main" id="12" name="Table928394913" displayName="Table928394913" ref="W102:AD109" totalsRowShown="0" headerRowDxfId="29" dataDxfId="28">
  <autoFilter ref="W102:AD109"/>
  <tableColumns count="8">
    <tableColumn id="1" name="Course" dataDxfId="27"/>
    <tableColumn id="2" name="Name" dataDxfId="26">
      <calculatedColumnFormula>IF(Table928394913[[#This Row],[Course]]= "","",IFERROR(VLOOKUP(Table928394913[[#This Row],[Course]],COURSELIST[],2,FALSE),"Course Not Found!"))</calculatedColumnFormula>
    </tableColumn>
    <tableColumn id="3" name="Degree" dataDxfId="25">
      <calculatedColumnFormula>IF(Table928394913[[#This Row],[Course]]= "","",IFERROR(VLOOKUP(Table928394913[[#This Row],[Course]],COURSELIST[],3,FALSE),""))</calculatedColumnFormula>
    </tableColumn>
    <tableColumn id="4" name="Credits" dataDxfId="24">
      <calculatedColumnFormula>IF(Table928394913[[#This Row],[Course]]= "","",IFERROR(VLOOKUP(Table928394913[[#This Row],[Course]],COURSELIST[],4,FALSE),""))</calculatedColumnFormula>
    </tableColumn>
    <tableColumn id="5" name=" " dataDxfId="23"/>
    <tableColumn id="6" name="Enrolled" dataDxfId="22">
      <calculatedColumnFormula>IF(Table928394913[[#This Row],[Course]]= "","",IFERROR(VLOOKUP(Table928394913[[#This Row],[Course]],COURSELIST[],6,FALSE),""))</calculatedColumnFormula>
    </tableColumn>
    <tableColumn id="7" name="Completed" dataDxfId="21">
      <calculatedColumnFormula>IF(Table928394913[[#This Row],[Course]]= "","",IFERROR(VLOOKUP(Table928394913[[#This Row],[Course]],COURSELIST[],7,FALSE),""))</calculatedColumnFormula>
    </tableColumn>
    <tableColumn id="8" name="GradePoints" dataDxfId="20">
      <calculatedColumnFormula>IF(Table928394913[[#This Row],[Course]]= "","",IFERROR(VLOOKUP(Table928394913[[#This Row],[Course]],COURSELIST[],8,FALSE),""))</calculatedColumnFormula>
    </tableColumn>
  </tableColumns>
  <tableStyleInfo name="TableStyleLight7" showFirstColumn="0" showLastColumn="0" showRowStripes="1" showColumnStripes="0"/>
</table>
</file>

<file path=xl/tables/table34.xml><?xml version="1.0" encoding="utf-8"?>
<table xmlns="http://schemas.openxmlformats.org/spreadsheetml/2006/main" id="13" name="Table1433445014" displayName="Table1433445014" ref="M102:T109" totalsRowShown="0" headerRowDxfId="19" dataDxfId="18">
  <autoFilter ref="M102:T109"/>
  <tableColumns count="8">
    <tableColumn id="1" name="Course" dataDxfId="17"/>
    <tableColumn id="2" name="Name" dataDxfId="16">
      <calculatedColumnFormula>IF(Table1433445014[[#This Row],[Course]]= "","",IFERROR(VLOOKUP(Table1433445014[[#This Row],[Course]],COURSELIST[],2,FALSE),"Course Not Found!"))</calculatedColumnFormula>
    </tableColumn>
    <tableColumn id="3" name="Degree" dataDxfId="15">
      <calculatedColumnFormula>IF(Table1433445014[[#This Row],[Course]]= "","",IFERROR(VLOOKUP(Table1433445014[[#This Row],[Course]],COURSELIST[],3,FALSE),""))</calculatedColumnFormula>
    </tableColumn>
    <tableColumn id="4" name="Credits" dataDxfId="14">
      <calculatedColumnFormula>IF(Table1433445014[[#This Row],[Course]]= "","",IFERROR(VLOOKUP(Table1433445014[[#This Row],[Course]],COURSELIST[],4,FALSE),""))</calculatedColumnFormula>
    </tableColumn>
    <tableColumn id="5" name=" " dataDxfId="13"/>
    <tableColumn id="6" name="Enrolled" dataDxfId="12">
      <calculatedColumnFormula>IF(Table1433445014[[#This Row],[Course]]= "","",IFERROR(VLOOKUP(Table1433445014[[#This Row],[Course]],COURSELIST[],6,FALSE),""))</calculatedColumnFormula>
    </tableColumn>
    <tableColumn id="7" name="Completed" dataDxfId="11">
      <calculatedColumnFormula>IF(Table1433445014[[#This Row],[Course]]= "","",IFERROR(VLOOKUP(Table1433445014[[#This Row],[Course]],COURSELIST[],7,FALSE),""))</calculatedColumnFormula>
    </tableColumn>
    <tableColumn id="8" name="GradePoints" dataDxfId="10">
      <calculatedColumnFormula>IF(Table1433445014[[#This Row],[Course]]= "","",IFERROR(VLOOKUP(Table1433445014[[#This Row],[Course]],COURSELIST[],8,FALSE),""))</calculatedColumnFormula>
    </tableColumn>
  </tableColumns>
  <tableStyleInfo name="TableStyleLight2" showFirstColumn="0" showLastColumn="0" showRowStripes="1" showColumnStripes="0"/>
</table>
</file>

<file path=xl/tables/table35.xml><?xml version="1.0" encoding="utf-8"?>
<table xmlns="http://schemas.openxmlformats.org/spreadsheetml/2006/main" id="14" name="Table9283949525515" displayName="Table9283949525515" ref="AG102:AN109" totalsRowShown="0" headerRowDxfId="9" dataDxfId="8">
  <autoFilter ref="AG102:AN109"/>
  <tableColumns count="8">
    <tableColumn id="1" name="Course" dataDxfId="7"/>
    <tableColumn id="2" name="Name" dataDxfId="6">
      <calculatedColumnFormula>IF(Table9283949525515[[#This Row],[Course]]= "","",IFERROR(VLOOKUP(Table9283949525515[[#This Row],[Course]],COURSELIST[],2,FALSE),"Course Not Found!"))</calculatedColumnFormula>
    </tableColumn>
    <tableColumn id="3" name="Degree" dataDxfId="5">
      <calculatedColumnFormula>IF(Table9283949525515[[#This Row],[Course]]= "","",IFERROR(VLOOKUP(Table9283949525515[[#This Row],[Course]],COURSELIST[],3,FALSE),""))</calculatedColumnFormula>
    </tableColumn>
    <tableColumn id="4" name="Credits" dataDxfId="4">
      <calculatedColumnFormula>IF(Table9283949525515[[#This Row],[Course]]= "","",IFERROR(VLOOKUP(Table9283949525515[[#This Row],[Course]],COURSELIST[],4,FALSE),""))</calculatedColumnFormula>
    </tableColumn>
    <tableColumn id="5" name=" " dataDxfId="3"/>
    <tableColumn id="6" name="Enrolled" dataDxfId="2">
      <calculatedColumnFormula>IF(Table9283949525515[[#This Row],[Course]]= "","",IFERROR(VLOOKUP(Table9283949525515[[#This Row],[Course]],COURSELIST[],6,FALSE),""))</calculatedColumnFormula>
    </tableColumn>
    <tableColumn id="7" name="Completed" dataDxfId="1">
      <calculatedColumnFormula>IF(Table9283949525515[[#This Row],[Course]]= "","",IFERROR(VLOOKUP(Table9283949525515[[#This Row],[Course]],COURSELIST[],7,FALSE),""))</calculatedColumnFormula>
    </tableColumn>
    <tableColumn id="8" name="GradePoints" dataDxfId="0">
      <calculatedColumnFormula>IF(Table9283949525515[[#This Row],[Course]]= "","",IFERROR(VLOOKUP(Table9283949525515[[#This Row],[Course]],COURSELIST[],8,FALSE),""))</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nickbolles.com/" TargetMode="External"/><Relationship Id="rId1" Type="http://schemas.openxmlformats.org/officeDocument/2006/relationships/hyperlink" Target="http://nickbolles.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26" Type="http://schemas.openxmlformats.org/officeDocument/2006/relationships/table" Target="../tables/table28.xml"/><Relationship Id="rId3" Type="http://schemas.openxmlformats.org/officeDocument/2006/relationships/table" Target="../tables/table5.xml"/><Relationship Id="rId21" Type="http://schemas.openxmlformats.org/officeDocument/2006/relationships/table" Target="../tables/table23.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5" Type="http://schemas.openxmlformats.org/officeDocument/2006/relationships/table" Target="../tables/table27.xml"/><Relationship Id="rId33" Type="http://schemas.openxmlformats.org/officeDocument/2006/relationships/table" Target="../tables/table35.xml"/><Relationship Id="rId2" Type="http://schemas.openxmlformats.org/officeDocument/2006/relationships/table" Target="../tables/table4.xml"/><Relationship Id="rId16" Type="http://schemas.openxmlformats.org/officeDocument/2006/relationships/table" Target="../tables/table18.xml"/><Relationship Id="rId20" Type="http://schemas.openxmlformats.org/officeDocument/2006/relationships/table" Target="../tables/table22.xml"/><Relationship Id="rId29" Type="http://schemas.openxmlformats.org/officeDocument/2006/relationships/table" Target="../tables/table31.xml"/><Relationship Id="rId1" Type="http://schemas.openxmlformats.org/officeDocument/2006/relationships/printerSettings" Target="../printerSettings/printerSettings3.bin"/><Relationship Id="rId6" Type="http://schemas.openxmlformats.org/officeDocument/2006/relationships/table" Target="../tables/table8.xml"/><Relationship Id="rId11" Type="http://schemas.openxmlformats.org/officeDocument/2006/relationships/table" Target="../tables/table13.xml"/><Relationship Id="rId24" Type="http://schemas.openxmlformats.org/officeDocument/2006/relationships/table" Target="../tables/table26.xml"/><Relationship Id="rId32" Type="http://schemas.openxmlformats.org/officeDocument/2006/relationships/table" Target="../tables/table34.xml"/><Relationship Id="rId5" Type="http://schemas.openxmlformats.org/officeDocument/2006/relationships/table" Target="../tables/table7.xml"/><Relationship Id="rId15" Type="http://schemas.openxmlformats.org/officeDocument/2006/relationships/table" Target="../tables/table17.xml"/><Relationship Id="rId23" Type="http://schemas.openxmlformats.org/officeDocument/2006/relationships/table" Target="../tables/table25.xml"/><Relationship Id="rId28" Type="http://schemas.openxmlformats.org/officeDocument/2006/relationships/table" Target="../tables/table30.xml"/><Relationship Id="rId10" Type="http://schemas.openxmlformats.org/officeDocument/2006/relationships/table" Target="../tables/table12.xml"/><Relationship Id="rId19" Type="http://schemas.openxmlformats.org/officeDocument/2006/relationships/table" Target="../tables/table21.xml"/><Relationship Id="rId31" Type="http://schemas.openxmlformats.org/officeDocument/2006/relationships/table" Target="../tables/table33.xml"/><Relationship Id="rId4" Type="http://schemas.openxmlformats.org/officeDocument/2006/relationships/table" Target="../tables/table6.xml"/><Relationship Id="rId9" Type="http://schemas.openxmlformats.org/officeDocument/2006/relationships/table" Target="../tables/table11.xml"/><Relationship Id="rId14" Type="http://schemas.openxmlformats.org/officeDocument/2006/relationships/table" Target="../tables/table16.xml"/><Relationship Id="rId22" Type="http://schemas.openxmlformats.org/officeDocument/2006/relationships/table" Target="../tables/table24.xml"/><Relationship Id="rId27" Type="http://schemas.openxmlformats.org/officeDocument/2006/relationships/table" Target="../tables/table29.xml"/><Relationship Id="rId30" Type="http://schemas.openxmlformats.org/officeDocument/2006/relationships/table" Target="../tables/table3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51"/>
  <sheetViews>
    <sheetView workbookViewId="0">
      <selection activeCell="Q8" sqref="Q8"/>
    </sheetView>
    <sheetView workbookViewId="1">
      <selection sqref="A1:L1"/>
    </sheetView>
  </sheetViews>
  <sheetFormatPr defaultRowHeight="15"/>
  <cols>
    <col min="1" max="1" width="4.140625" style="59" bestFit="1" customWidth="1"/>
    <col min="2" max="14" width="10.7109375" style="59" customWidth="1"/>
    <col min="15" max="16384" width="9.140625" style="59"/>
  </cols>
  <sheetData>
    <row r="1" spans="1:14" ht="46.5">
      <c r="A1" s="131" t="s">
        <v>101</v>
      </c>
      <c r="B1" s="131"/>
      <c r="C1" s="131"/>
      <c r="D1" s="131"/>
      <c r="E1" s="131"/>
      <c r="F1" s="131"/>
      <c r="G1" s="131"/>
      <c r="H1" s="131"/>
      <c r="I1" s="131"/>
      <c r="J1" s="131"/>
      <c r="K1" s="131"/>
      <c r="L1" s="131"/>
      <c r="M1" s="62"/>
    </row>
    <row r="2" spans="1:14" ht="20.25" customHeight="1">
      <c r="A2" s="60"/>
      <c r="B2" s="60"/>
      <c r="C2" s="60"/>
      <c r="D2" s="132" t="s">
        <v>83</v>
      </c>
      <c r="E2" s="132"/>
      <c r="F2" s="132"/>
      <c r="G2" s="61" t="s">
        <v>82</v>
      </c>
      <c r="H2" s="61"/>
      <c r="I2" s="62"/>
      <c r="J2" s="62"/>
      <c r="K2" s="60"/>
      <c r="L2" s="60"/>
      <c r="M2" s="62"/>
    </row>
    <row r="3" spans="1:14" ht="20.25" customHeight="1">
      <c r="A3" s="60"/>
      <c r="B3" s="60"/>
      <c r="C3" s="60"/>
      <c r="D3" s="92"/>
      <c r="E3" s="92"/>
      <c r="F3" s="92"/>
      <c r="G3" s="61"/>
      <c r="H3" s="61"/>
      <c r="I3" s="62"/>
      <c r="J3" s="62"/>
      <c r="K3" s="60"/>
      <c r="L3" s="60"/>
      <c r="M3" s="62"/>
    </row>
    <row r="4" spans="1:14" ht="20.25" customHeight="1">
      <c r="A4" s="60"/>
      <c r="B4" s="60"/>
      <c r="C4" s="60"/>
      <c r="D4" s="134" t="s">
        <v>114</v>
      </c>
      <c r="E4" s="134"/>
      <c r="F4" s="134"/>
      <c r="G4" s="134"/>
      <c r="H4" s="134"/>
      <c r="I4" s="134"/>
      <c r="J4" s="86"/>
      <c r="K4" s="60"/>
      <c r="L4" s="60"/>
      <c r="M4" s="62"/>
    </row>
    <row r="5" spans="1:14" ht="20.25" customHeight="1">
      <c r="A5" s="60"/>
      <c r="B5" s="60"/>
      <c r="C5" s="60"/>
      <c r="D5" s="134"/>
      <c r="E5" s="134"/>
      <c r="F5" s="134"/>
      <c r="G5" s="134"/>
      <c r="H5" s="134"/>
      <c r="I5" s="134"/>
      <c r="J5" s="87"/>
      <c r="K5" s="60"/>
      <c r="L5" s="60"/>
      <c r="M5" s="62"/>
    </row>
    <row r="6" spans="1:14" ht="15.75" thickBot="1">
      <c r="A6" s="62"/>
      <c r="B6" s="62"/>
      <c r="C6" s="62"/>
      <c r="D6" s="62"/>
      <c r="E6" s="62"/>
      <c r="F6" s="62"/>
      <c r="G6" s="62"/>
      <c r="H6" s="62"/>
      <c r="I6" s="62"/>
      <c r="J6" s="62"/>
      <c r="K6" s="62"/>
      <c r="L6" s="62"/>
      <c r="M6" s="62"/>
    </row>
    <row r="7" spans="1:14" ht="32.25" thickTop="1">
      <c r="A7" s="62"/>
      <c r="B7" s="62"/>
      <c r="C7" s="120" t="s">
        <v>102</v>
      </c>
      <c r="D7" s="121"/>
      <c r="E7" s="121"/>
      <c r="F7" s="121"/>
      <c r="G7" s="121"/>
      <c r="H7" s="121"/>
      <c r="I7" s="121"/>
      <c r="J7" s="122"/>
      <c r="K7" s="62"/>
      <c r="L7" s="62"/>
      <c r="M7" s="62"/>
    </row>
    <row r="8" spans="1:14" ht="23.25">
      <c r="A8" s="62"/>
      <c r="B8" s="62"/>
      <c r="C8" s="123" t="s">
        <v>68</v>
      </c>
      <c r="D8" s="124"/>
      <c r="E8" s="124"/>
      <c r="F8" s="124"/>
      <c r="G8" s="124"/>
      <c r="H8" s="124"/>
      <c r="I8" s="124"/>
      <c r="J8" s="125"/>
      <c r="K8" s="62"/>
      <c r="L8" s="62"/>
      <c r="M8" s="62"/>
    </row>
    <row r="9" spans="1:14" ht="15.75" thickBot="1">
      <c r="A9" s="62"/>
      <c r="B9" s="62"/>
      <c r="C9" s="63"/>
      <c r="D9" s="133" t="s">
        <v>97</v>
      </c>
      <c r="E9" s="133"/>
      <c r="F9" s="133"/>
      <c r="G9" s="133"/>
      <c r="H9" s="133"/>
      <c r="I9" s="133"/>
      <c r="J9" s="64"/>
      <c r="K9" s="62"/>
      <c r="L9" s="62"/>
      <c r="M9" s="62"/>
    </row>
    <row r="10" spans="1:14" ht="15.75" thickBot="1">
      <c r="A10" s="62"/>
      <c r="B10" s="62"/>
      <c r="C10" s="63"/>
      <c r="D10" s="65"/>
      <c r="E10" s="62"/>
      <c r="F10" s="126">
        <v>11</v>
      </c>
      <c r="G10" s="127"/>
      <c r="H10" s="62"/>
      <c r="I10" s="65"/>
      <c r="J10" s="64"/>
      <c r="K10" s="62"/>
      <c r="L10" s="62"/>
      <c r="M10" s="62"/>
    </row>
    <row r="11" spans="1:14" ht="23.25">
      <c r="A11" s="62"/>
      <c r="B11" s="62"/>
      <c r="C11" s="63"/>
      <c r="D11" s="65"/>
      <c r="E11" s="65"/>
      <c r="F11" s="65"/>
      <c r="G11" s="65"/>
      <c r="H11" s="62"/>
      <c r="I11" s="65"/>
      <c r="J11" s="66"/>
      <c r="K11" s="62"/>
      <c r="L11" s="62"/>
      <c r="M11" s="62"/>
    </row>
    <row r="12" spans="1:14" ht="23.25">
      <c r="A12" s="62"/>
      <c r="B12" s="62"/>
      <c r="C12" s="123" t="s">
        <v>87</v>
      </c>
      <c r="D12" s="124"/>
      <c r="E12" s="124"/>
      <c r="F12" s="124"/>
      <c r="G12" s="124"/>
      <c r="H12" s="124"/>
      <c r="I12" s="124"/>
      <c r="J12" s="125"/>
      <c r="K12" s="62"/>
      <c r="L12" s="62"/>
      <c r="M12" s="82"/>
      <c r="N12" s="83"/>
    </row>
    <row r="13" spans="1:14" ht="23.25">
      <c r="A13" s="62"/>
      <c r="B13" s="62"/>
      <c r="C13" s="88"/>
      <c r="D13" s="133" t="s">
        <v>115</v>
      </c>
      <c r="E13" s="133"/>
      <c r="F13" s="133"/>
      <c r="G13" s="133"/>
      <c r="H13" s="133"/>
      <c r="I13" s="133"/>
      <c r="J13" s="66"/>
      <c r="K13" s="62"/>
      <c r="L13" s="62"/>
      <c r="M13" s="82"/>
      <c r="N13" s="83"/>
    </row>
    <row r="14" spans="1:14" ht="15.75" thickBot="1">
      <c r="A14" s="62"/>
      <c r="B14" s="62"/>
      <c r="C14" s="63"/>
      <c r="D14" s="133" t="s">
        <v>116</v>
      </c>
      <c r="E14" s="133"/>
      <c r="F14" s="133"/>
      <c r="G14" s="133"/>
      <c r="H14" s="133"/>
      <c r="I14" s="133"/>
      <c r="J14" s="64"/>
      <c r="K14" s="62"/>
      <c r="L14" s="62"/>
      <c r="M14" s="62"/>
    </row>
    <row r="15" spans="1:14" ht="15.75" thickBot="1">
      <c r="A15" s="62"/>
      <c r="B15" s="62"/>
      <c r="C15" s="63"/>
      <c r="D15" s="67"/>
      <c r="E15" s="139" t="s">
        <v>67</v>
      </c>
      <c r="F15" s="140"/>
      <c r="G15" s="80">
        <v>0</v>
      </c>
      <c r="H15" s="62"/>
      <c r="I15" s="65"/>
      <c r="J15" s="64"/>
      <c r="K15" s="62"/>
      <c r="L15" s="62"/>
      <c r="M15" s="62"/>
    </row>
    <row r="16" spans="1:14" ht="15.75" thickBot="1">
      <c r="A16" s="62"/>
      <c r="B16" s="62"/>
      <c r="C16" s="63"/>
      <c r="D16" s="62"/>
      <c r="E16" s="139" t="s">
        <v>66</v>
      </c>
      <c r="F16" s="140"/>
      <c r="G16" s="80">
        <v>24</v>
      </c>
      <c r="H16" s="62"/>
      <c r="I16" s="65"/>
      <c r="J16" s="64"/>
      <c r="K16" s="62"/>
      <c r="L16" s="62"/>
      <c r="M16" s="62"/>
    </row>
    <row r="17" spans="1:13" ht="15.75" thickBot="1">
      <c r="A17" s="62"/>
      <c r="B17" s="62"/>
      <c r="C17" s="63"/>
      <c r="D17" s="62"/>
      <c r="E17" s="139" t="s">
        <v>65</v>
      </c>
      <c r="F17" s="140"/>
      <c r="G17" s="80">
        <v>54</v>
      </c>
      <c r="H17" s="62"/>
      <c r="I17" s="65"/>
      <c r="J17" s="64"/>
      <c r="K17" s="62"/>
      <c r="L17" s="62"/>
      <c r="M17" s="62"/>
    </row>
    <row r="18" spans="1:13" ht="15.75" thickBot="1">
      <c r="A18" s="62"/>
      <c r="B18" s="62"/>
      <c r="C18" s="63"/>
      <c r="D18" s="62"/>
      <c r="E18" s="139" t="s">
        <v>64</v>
      </c>
      <c r="F18" s="140"/>
      <c r="G18" s="80">
        <v>90</v>
      </c>
      <c r="H18" s="62"/>
      <c r="I18" s="65"/>
      <c r="J18" s="64"/>
      <c r="K18" s="62"/>
      <c r="L18" s="62"/>
      <c r="M18" s="62"/>
    </row>
    <row r="19" spans="1:13">
      <c r="A19" s="62"/>
      <c r="B19" s="62"/>
      <c r="C19" s="63"/>
      <c r="D19" s="62"/>
      <c r="E19" s="62"/>
      <c r="F19" s="62"/>
      <c r="G19" s="62"/>
      <c r="H19" s="62"/>
      <c r="I19" s="65"/>
      <c r="J19" s="64"/>
      <c r="K19" s="62"/>
      <c r="L19" s="62"/>
      <c r="M19" s="62"/>
    </row>
    <row r="20" spans="1:13" ht="15.75" thickBot="1">
      <c r="A20" s="62"/>
      <c r="B20" s="62"/>
      <c r="C20" s="68"/>
      <c r="D20" s="69"/>
      <c r="E20" s="70"/>
      <c r="F20" s="70"/>
      <c r="G20" s="70"/>
      <c r="H20" s="70"/>
      <c r="I20" s="70"/>
      <c r="J20" s="71"/>
      <c r="K20" s="62"/>
      <c r="L20" s="62"/>
      <c r="M20" s="62"/>
    </row>
    <row r="21" spans="1:13" ht="15.75" thickTop="1">
      <c r="A21" s="62"/>
      <c r="B21" s="62"/>
      <c r="C21" s="65"/>
      <c r="D21" s="72"/>
      <c r="E21" s="65"/>
      <c r="F21" s="65"/>
      <c r="G21" s="65"/>
      <c r="H21" s="65"/>
      <c r="I21" s="65"/>
      <c r="J21" s="65"/>
      <c r="K21" s="62"/>
      <c r="L21" s="62"/>
      <c r="M21" s="62"/>
    </row>
    <row r="22" spans="1:13" ht="18.75">
      <c r="A22" s="73" t="s">
        <v>81</v>
      </c>
      <c r="B22" s="128" t="s">
        <v>106</v>
      </c>
      <c r="C22" s="129"/>
      <c r="D22" s="129"/>
      <c r="E22" s="129"/>
      <c r="F22" s="129"/>
      <c r="G22" s="129"/>
      <c r="H22" s="129"/>
      <c r="I22" s="129"/>
      <c r="J22" s="129"/>
      <c r="K22" s="129"/>
      <c r="L22" s="130"/>
      <c r="M22" s="62"/>
    </row>
    <row r="23" spans="1:13" ht="18.75">
      <c r="A23" s="73"/>
      <c r="B23" s="128" t="s">
        <v>80</v>
      </c>
      <c r="C23" s="129"/>
      <c r="D23" s="129"/>
      <c r="E23" s="129"/>
      <c r="F23" s="129"/>
      <c r="G23" s="129"/>
      <c r="H23" s="129"/>
      <c r="I23" s="129"/>
      <c r="J23" s="129"/>
      <c r="K23" s="129"/>
      <c r="L23" s="130"/>
      <c r="M23" s="62"/>
    </row>
    <row r="24" spans="1:13" ht="18.75">
      <c r="A24" s="73"/>
      <c r="B24" s="62"/>
      <c r="C24" s="62"/>
      <c r="D24" s="74"/>
      <c r="E24" s="74"/>
      <c r="F24" s="74"/>
      <c r="G24" s="74"/>
      <c r="H24" s="74"/>
      <c r="I24" s="74"/>
      <c r="J24" s="62"/>
      <c r="K24" s="62"/>
      <c r="L24" s="62"/>
      <c r="M24" s="62"/>
    </row>
    <row r="25" spans="1:13" ht="18.75">
      <c r="A25" s="73" t="s">
        <v>79</v>
      </c>
      <c r="B25" s="128" t="s">
        <v>78</v>
      </c>
      <c r="C25" s="129"/>
      <c r="D25" s="129"/>
      <c r="E25" s="129"/>
      <c r="F25" s="129"/>
      <c r="G25" s="129"/>
      <c r="H25" s="129"/>
      <c r="I25" s="129"/>
      <c r="J25" s="129"/>
      <c r="K25" s="129"/>
      <c r="L25" s="130"/>
      <c r="M25" s="62"/>
    </row>
    <row r="26" spans="1:13" ht="18.75">
      <c r="A26" s="73"/>
      <c r="B26" s="62"/>
      <c r="C26" s="62"/>
      <c r="D26" s="74"/>
      <c r="E26" s="74"/>
      <c r="F26" s="74"/>
      <c r="G26" s="74"/>
      <c r="H26" s="74"/>
      <c r="I26" s="74"/>
      <c r="J26" s="62"/>
      <c r="K26" s="62"/>
      <c r="L26" s="62"/>
      <c r="M26" s="62"/>
    </row>
    <row r="27" spans="1:13" ht="19.5" thickBot="1">
      <c r="A27" s="73" t="s">
        <v>77</v>
      </c>
      <c r="B27" s="128" t="s">
        <v>76</v>
      </c>
      <c r="C27" s="129"/>
      <c r="D27" s="129"/>
      <c r="E27" s="135"/>
      <c r="F27" s="135"/>
      <c r="G27" s="135"/>
      <c r="H27" s="135"/>
      <c r="I27" s="135"/>
      <c r="J27" s="129"/>
      <c r="K27" s="129"/>
      <c r="L27" s="130"/>
      <c r="M27" s="62"/>
    </row>
    <row r="28" spans="1:13" ht="19.5" thickBot="1">
      <c r="A28" s="73"/>
      <c r="B28" s="62"/>
      <c r="C28" s="75"/>
      <c r="D28" s="75"/>
      <c r="E28" s="146" t="s">
        <v>75</v>
      </c>
      <c r="F28" s="147"/>
      <c r="G28" s="147"/>
      <c r="H28" s="147"/>
      <c r="I28" s="148"/>
      <c r="J28" s="75"/>
      <c r="K28" s="75"/>
      <c r="L28" s="62"/>
      <c r="M28" s="62"/>
    </row>
    <row r="29" spans="1:13" ht="18.75">
      <c r="A29" s="73"/>
      <c r="B29" s="62"/>
      <c r="C29" s="62"/>
      <c r="D29" s="76"/>
      <c r="E29" s="76"/>
      <c r="F29" s="76"/>
      <c r="G29" s="76"/>
      <c r="H29" s="76"/>
      <c r="I29" s="76"/>
      <c r="J29" s="62"/>
      <c r="K29" s="62"/>
      <c r="L29" s="62"/>
      <c r="M29" s="62"/>
    </row>
    <row r="30" spans="1:13" ht="19.5" thickBot="1">
      <c r="A30" s="73" t="s">
        <v>74</v>
      </c>
      <c r="B30" s="128" t="s">
        <v>73</v>
      </c>
      <c r="C30" s="129"/>
      <c r="D30" s="129"/>
      <c r="E30" s="135"/>
      <c r="F30" s="135"/>
      <c r="G30" s="135"/>
      <c r="H30" s="135"/>
      <c r="I30" s="135"/>
      <c r="J30" s="129"/>
      <c r="K30" s="129"/>
      <c r="L30" s="130"/>
      <c r="M30" s="79"/>
    </row>
    <row r="31" spans="1:13" ht="19.5" thickBot="1">
      <c r="A31" s="73"/>
      <c r="B31" s="62"/>
      <c r="C31" s="75"/>
      <c r="D31" s="75"/>
      <c r="E31" s="146" t="s">
        <v>70</v>
      </c>
      <c r="F31" s="147"/>
      <c r="G31" s="147"/>
      <c r="H31" s="147"/>
      <c r="I31" s="148"/>
      <c r="J31" s="75"/>
      <c r="K31" s="75"/>
      <c r="L31" s="62"/>
      <c r="M31" s="62"/>
    </row>
    <row r="32" spans="1:13" ht="18.75">
      <c r="A32" s="73"/>
      <c r="B32" s="62"/>
      <c r="C32" s="77"/>
      <c r="D32" s="76"/>
      <c r="E32" s="76"/>
      <c r="F32" s="76"/>
      <c r="G32" s="76"/>
      <c r="H32" s="76"/>
      <c r="I32" s="76"/>
      <c r="J32" s="62"/>
      <c r="K32" s="62"/>
      <c r="L32" s="62"/>
      <c r="M32" s="62"/>
    </row>
    <row r="33" spans="1:13" ht="18.75">
      <c r="A33" s="73" t="s">
        <v>72</v>
      </c>
      <c r="B33" s="141" t="s">
        <v>71</v>
      </c>
      <c r="C33" s="135"/>
      <c r="D33" s="135"/>
      <c r="E33" s="135"/>
      <c r="F33" s="135"/>
      <c r="G33" s="135"/>
      <c r="H33" s="135"/>
      <c r="I33" s="135"/>
      <c r="J33" s="135"/>
      <c r="K33" s="135"/>
      <c r="L33" s="142"/>
      <c r="M33" s="62"/>
    </row>
    <row r="34" spans="1:13" ht="19.5" thickBot="1">
      <c r="A34" s="73"/>
      <c r="B34" s="128" t="s">
        <v>104</v>
      </c>
      <c r="C34" s="129"/>
      <c r="D34" s="129"/>
      <c r="E34" s="135"/>
      <c r="F34" s="135"/>
      <c r="G34" s="135"/>
      <c r="H34" s="135"/>
      <c r="I34" s="135"/>
      <c r="J34" s="129"/>
      <c r="K34" s="129"/>
      <c r="L34" s="130"/>
      <c r="M34" s="62"/>
    </row>
    <row r="35" spans="1:13" ht="19.5" thickBot="1">
      <c r="A35" s="73"/>
      <c r="B35" s="62"/>
      <c r="C35" s="75"/>
      <c r="D35" s="75"/>
      <c r="E35" s="146" t="s">
        <v>70</v>
      </c>
      <c r="F35" s="147"/>
      <c r="G35" s="147"/>
      <c r="H35" s="147"/>
      <c r="I35" s="148"/>
      <c r="J35" s="75"/>
      <c r="K35" s="75"/>
      <c r="L35" s="65"/>
      <c r="M35" s="65"/>
    </row>
    <row r="36" spans="1:13" ht="18.75">
      <c r="A36" s="73"/>
      <c r="B36" s="62"/>
      <c r="C36" s="62"/>
      <c r="D36" s="76"/>
      <c r="E36" s="76"/>
      <c r="F36" s="76"/>
      <c r="G36" s="76"/>
      <c r="H36" s="76"/>
      <c r="I36" s="76"/>
      <c r="J36" s="62"/>
      <c r="K36" s="62"/>
      <c r="L36" s="62"/>
      <c r="M36" s="62"/>
    </row>
    <row r="37" spans="1:13" ht="18.75">
      <c r="A37" s="73" t="s">
        <v>69</v>
      </c>
      <c r="B37" s="128" t="s">
        <v>86</v>
      </c>
      <c r="C37" s="129"/>
      <c r="D37" s="129"/>
      <c r="E37" s="129"/>
      <c r="F37" s="129"/>
      <c r="G37" s="129"/>
      <c r="H37" s="129"/>
      <c r="I37" s="129"/>
      <c r="J37" s="129"/>
      <c r="K37" s="129"/>
      <c r="L37" s="130"/>
      <c r="M37" s="62"/>
    </row>
    <row r="38" spans="1:13">
      <c r="A38" s="62"/>
      <c r="B38" s="136" t="s">
        <v>85</v>
      </c>
      <c r="C38" s="137"/>
      <c r="D38" s="137"/>
      <c r="E38" s="137"/>
      <c r="F38" s="137"/>
      <c r="G38" s="137"/>
      <c r="H38" s="137"/>
      <c r="I38" s="137"/>
      <c r="J38" s="137"/>
      <c r="K38" s="137"/>
      <c r="L38" s="138"/>
      <c r="M38" s="62"/>
    </row>
    <row r="39" spans="1:13">
      <c r="A39" s="62"/>
      <c r="B39" s="62"/>
      <c r="C39" s="62"/>
      <c r="D39" s="74"/>
      <c r="E39" s="74"/>
      <c r="F39" s="74"/>
      <c r="G39" s="74"/>
      <c r="H39" s="74"/>
      <c r="I39" s="74"/>
      <c r="J39" s="62"/>
      <c r="K39" s="62"/>
      <c r="L39" s="62"/>
      <c r="M39" s="62"/>
    </row>
    <row r="40" spans="1:13">
      <c r="A40" s="62"/>
      <c r="B40" s="143" t="s">
        <v>105</v>
      </c>
      <c r="C40" s="144"/>
      <c r="D40" s="144"/>
      <c r="E40" s="144"/>
      <c r="F40" s="144"/>
      <c r="G40" s="144"/>
      <c r="H40" s="144"/>
      <c r="I40" s="144"/>
      <c r="J40" s="144"/>
      <c r="K40" s="144"/>
      <c r="L40" s="145"/>
      <c r="M40" s="62"/>
    </row>
    <row r="41" spans="1:13" ht="21">
      <c r="A41" s="62"/>
      <c r="B41" s="78"/>
      <c r="C41" s="65"/>
      <c r="D41" s="81"/>
      <c r="E41" s="81"/>
      <c r="F41" s="81"/>
      <c r="G41" s="81"/>
      <c r="H41" s="81"/>
      <c r="I41" s="81"/>
      <c r="J41" s="65"/>
      <c r="K41" s="62"/>
      <c r="L41" s="62"/>
      <c r="M41" s="62"/>
    </row>
    <row r="42" spans="1:13" ht="18.75">
      <c r="A42" s="73" t="s">
        <v>99</v>
      </c>
      <c r="B42" s="128" t="s">
        <v>100</v>
      </c>
      <c r="C42" s="129"/>
      <c r="D42" s="129"/>
      <c r="E42" s="129"/>
      <c r="F42" s="129"/>
      <c r="G42" s="129"/>
      <c r="H42" s="129"/>
      <c r="I42" s="129"/>
      <c r="J42" s="129"/>
      <c r="K42" s="129"/>
      <c r="L42" s="130"/>
      <c r="M42" s="62"/>
    </row>
    <row r="43" spans="1:13">
      <c r="A43" s="62"/>
      <c r="B43" s="151"/>
      <c r="C43" s="151"/>
      <c r="D43" s="151"/>
      <c r="E43" s="151"/>
      <c r="F43" s="151"/>
      <c r="G43" s="151"/>
      <c r="H43" s="151"/>
      <c r="I43" s="151"/>
      <c r="J43" s="151"/>
      <c r="K43" s="151"/>
      <c r="L43" s="151"/>
      <c r="M43" s="65"/>
    </row>
    <row r="44" spans="1:13" ht="21">
      <c r="A44" s="84" t="s">
        <v>107</v>
      </c>
      <c r="B44" s="85"/>
      <c r="C44" s="85"/>
      <c r="D44" s="85"/>
      <c r="E44" s="85"/>
      <c r="F44" s="62"/>
      <c r="G44" s="62"/>
      <c r="H44" s="62"/>
      <c r="I44" s="62"/>
      <c r="J44" s="62"/>
      <c r="K44" s="62"/>
      <c r="L44" s="62"/>
      <c r="M44" s="62"/>
    </row>
    <row r="45" spans="1:13">
      <c r="A45" s="62"/>
      <c r="B45" s="150" t="s">
        <v>109</v>
      </c>
      <c r="C45" s="150"/>
      <c r="D45" s="150"/>
      <c r="E45" s="150"/>
      <c r="F45" s="150"/>
      <c r="G45" s="150"/>
      <c r="H45" s="150"/>
      <c r="I45" s="150"/>
      <c r="J45" s="150"/>
      <c r="K45" s="150"/>
      <c r="L45" s="150"/>
      <c r="M45" s="62"/>
    </row>
    <row r="46" spans="1:13">
      <c r="A46" s="62"/>
      <c r="B46" s="149" t="s">
        <v>108</v>
      </c>
      <c r="C46" s="149"/>
      <c r="D46" s="149"/>
      <c r="E46" s="149"/>
      <c r="F46" s="149"/>
      <c r="G46" s="149"/>
      <c r="H46" s="149"/>
      <c r="I46" s="149"/>
      <c r="J46" s="149"/>
      <c r="K46" s="149"/>
      <c r="L46" s="149"/>
      <c r="M46" s="62"/>
    </row>
    <row r="47" spans="1:13">
      <c r="A47" s="62"/>
      <c r="B47" s="150" t="s">
        <v>110</v>
      </c>
      <c r="C47" s="150"/>
      <c r="D47" s="150"/>
      <c r="E47" s="150"/>
      <c r="F47" s="150"/>
      <c r="G47" s="150"/>
      <c r="H47" s="150"/>
      <c r="I47" s="150"/>
      <c r="J47" s="150"/>
      <c r="K47" s="150"/>
      <c r="L47" s="150"/>
      <c r="M47" s="62"/>
    </row>
    <row r="48" spans="1:13">
      <c r="A48" s="62"/>
      <c r="B48" s="149" t="s">
        <v>111</v>
      </c>
      <c r="C48" s="149"/>
      <c r="D48" s="149"/>
      <c r="E48" s="149"/>
      <c r="F48" s="149"/>
      <c r="G48" s="149"/>
      <c r="H48" s="149"/>
      <c r="I48" s="149"/>
      <c r="J48" s="149"/>
      <c r="K48" s="149"/>
      <c r="L48" s="149"/>
      <c r="M48" s="62"/>
    </row>
    <row r="49" spans="1:13">
      <c r="A49" s="62"/>
      <c r="B49" s="150" t="s">
        <v>113</v>
      </c>
      <c r="C49" s="150"/>
      <c r="D49" s="150"/>
      <c r="E49" s="150"/>
      <c r="F49" s="150"/>
      <c r="G49" s="150"/>
      <c r="H49" s="150"/>
      <c r="I49" s="150"/>
      <c r="J49" s="150"/>
      <c r="K49" s="150"/>
      <c r="L49" s="150"/>
      <c r="M49" s="62"/>
    </row>
    <row r="50" spans="1:13">
      <c r="A50" s="62"/>
      <c r="B50" s="149" t="s">
        <v>112</v>
      </c>
      <c r="C50" s="149"/>
      <c r="D50" s="149"/>
      <c r="E50" s="149"/>
      <c r="F50" s="149"/>
      <c r="G50" s="149"/>
      <c r="H50" s="149"/>
      <c r="I50" s="149"/>
      <c r="J50" s="149"/>
      <c r="K50" s="149"/>
      <c r="L50" s="149"/>
      <c r="M50" s="62"/>
    </row>
    <row r="51" spans="1:13" ht="18.75">
      <c r="A51" s="73"/>
      <c r="B51" s="62"/>
      <c r="C51" s="77"/>
      <c r="D51" s="76"/>
      <c r="E51" s="76"/>
      <c r="F51" s="76"/>
      <c r="G51" s="76"/>
      <c r="H51" s="76"/>
      <c r="I51" s="76"/>
      <c r="J51" s="62"/>
      <c r="K51" s="62"/>
      <c r="L51" s="62"/>
      <c r="M51" s="62"/>
    </row>
  </sheetData>
  <sheetProtection sheet="1" objects="1" scenarios="1"/>
  <mergeCells count="35">
    <mergeCell ref="B48:L48"/>
    <mergeCell ref="B49:L49"/>
    <mergeCell ref="B50:L50"/>
    <mergeCell ref="B43:L43"/>
    <mergeCell ref="B45:L45"/>
    <mergeCell ref="B46:L46"/>
    <mergeCell ref="B47:L47"/>
    <mergeCell ref="B40:L40"/>
    <mergeCell ref="E28:I28"/>
    <mergeCell ref="E31:I31"/>
    <mergeCell ref="E35:I35"/>
    <mergeCell ref="B42:L42"/>
    <mergeCell ref="B37:L37"/>
    <mergeCell ref="B27:L27"/>
    <mergeCell ref="B30:L30"/>
    <mergeCell ref="B34:L34"/>
    <mergeCell ref="B38:L38"/>
    <mergeCell ref="E15:F15"/>
    <mergeCell ref="E16:F16"/>
    <mergeCell ref="E17:F17"/>
    <mergeCell ref="E18:F18"/>
    <mergeCell ref="B33:L33"/>
    <mergeCell ref="B25:L25"/>
    <mergeCell ref="B23:L23"/>
    <mergeCell ref="C7:J7"/>
    <mergeCell ref="C8:J8"/>
    <mergeCell ref="F10:G10"/>
    <mergeCell ref="B22:L22"/>
    <mergeCell ref="A1:L1"/>
    <mergeCell ref="D2:F2"/>
    <mergeCell ref="D14:I14"/>
    <mergeCell ref="D9:I9"/>
    <mergeCell ref="C12:J12"/>
    <mergeCell ref="D4:I5"/>
    <mergeCell ref="D13:I13"/>
  </mergeCells>
  <hyperlinks>
    <hyperlink ref="C35:H35" location="'Semester View'!A1" display="'Semester View'!A1"/>
    <hyperlink ref="G2:H2" r:id="rId1" display="http://nickbolles.com"/>
    <hyperlink ref="G2" r:id="rId2"/>
    <hyperlink ref="C28:H28" location="'Course List'!A1" display="Click Here to go to the Course List Table"/>
    <hyperlink ref="C31:H31" location="'Semester View'!A1" display="Click Here to go to the Semester View"/>
    <hyperlink ref="E28" location="'Course List'!A1" display="'Course List'!A1"/>
  </hyperlinks>
  <pageMargins left="0.7" right="0.7" top="0.75" bottom="0.75" header="0.3" footer="0.3"/>
  <pageSetup orientation="portrait" horizontalDpi="4294967293"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270"/>
  <sheetViews>
    <sheetView topLeftCell="A34" zoomScaleNormal="100" workbookViewId="0">
      <selection activeCell="D63" sqref="D63"/>
    </sheetView>
    <sheetView tabSelected="1" topLeftCell="A58" workbookViewId="1">
      <selection activeCell="E72" sqref="E72"/>
    </sheetView>
  </sheetViews>
  <sheetFormatPr defaultRowHeight="15"/>
  <cols>
    <col min="1" max="1" width="20.85546875" style="3" customWidth="1"/>
    <col min="2" max="2" width="37.5703125" style="3" customWidth="1"/>
    <col min="3" max="3" width="13.7109375" style="3" customWidth="1"/>
    <col min="4" max="4" width="13.85546875" style="3" customWidth="1"/>
    <col min="5" max="5" width="18.28515625" style="3" customWidth="1"/>
    <col min="6" max="7" width="12.5703125" style="3" customWidth="1"/>
    <col min="8" max="8" width="15.5703125" style="3" customWidth="1"/>
    <col min="9" max="9" width="53.42578125" style="3" customWidth="1"/>
    <col min="10" max="10" width="14.28515625" style="3" hidden="1" customWidth="1"/>
    <col min="11" max="11" width="12.42578125" style="3" customWidth="1"/>
    <col min="12" max="12" width="20.140625" style="3" customWidth="1"/>
    <col min="13" max="13" width="14.42578125" style="3" customWidth="1"/>
    <col min="14" max="14" width="12" style="3" customWidth="1"/>
    <col min="15" max="15" width="7.5703125" style="3" customWidth="1"/>
    <col min="16" max="16" width="7.7109375" style="3" customWidth="1"/>
    <col min="17" max="17" width="7.85546875" style="3" customWidth="1"/>
    <col min="18" max="18" width="8" style="3" customWidth="1"/>
    <col min="19" max="16384" width="9.140625" style="3"/>
  </cols>
  <sheetData>
    <row r="1" spans="1:18">
      <c r="A1" s="1" t="s">
        <v>7</v>
      </c>
      <c r="B1" s="1" t="s">
        <v>8</v>
      </c>
      <c r="C1" s="1" t="s">
        <v>9</v>
      </c>
      <c r="D1" s="1" t="s">
        <v>10</v>
      </c>
      <c r="E1" s="1" t="s">
        <v>11</v>
      </c>
      <c r="F1" s="1" t="s">
        <v>12</v>
      </c>
      <c r="G1" s="1" t="s">
        <v>13</v>
      </c>
      <c r="H1" s="1" t="s">
        <v>27</v>
      </c>
      <c r="I1" s="1" t="s">
        <v>30</v>
      </c>
      <c r="J1" s="1" t="s">
        <v>62</v>
      </c>
    </row>
    <row r="2" spans="1:18" ht="15.75">
      <c r="A2" s="6" t="s">
        <v>161</v>
      </c>
      <c r="B2" s="1" t="s">
        <v>162</v>
      </c>
      <c r="C2" s="1" t="s">
        <v>141</v>
      </c>
      <c r="D2" s="1">
        <v>3</v>
      </c>
      <c r="E2" s="1" t="s">
        <v>163</v>
      </c>
      <c r="F2" s="1" t="s">
        <v>150</v>
      </c>
      <c r="G2" s="1" t="s">
        <v>150</v>
      </c>
      <c r="H2" s="1"/>
      <c r="I2" s="1"/>
      <c r="J2" s="1">
        <v>1</v>
      </c>
      <c r="L2" s="156" t="s">
        <v>43</v>
      </c>
      <c r="M2" s="156"/>
      <c r="N2" s="156"/>
      <c r="O2" s="156"/>
      <c r="P2" s="156"/>
      <c r="Q2" s="156"/>
    </row>
    <row r="3" spans="1:18" ht="15.75">
      <c r="A3" s="6" t="s">
        <v>164</v>
      </c>
      <c r="B3" s="1" t="s">
        <v>165</v>
      </c>
      <c r="C3" s="1" t="s">
        <v>141</v>
      </c>
      <c r="D3" s="1">
        <v>3</v>
      </c>
      <c r="E3" s="1" t="s">
        <v>163</v>
      </c>
      <c r="F3" s="1" t="s">
        <v>150</v>
      </c>
      <c r="G3" s="1" t="s">
        <v>150</v>
      </c>
      <c r="H3" s="1"/>
      <c r="I3" s="1"/>
      <c r="J3" s="1">
        <v>1</v>
      </c>
      <c r="M3" s="153" t="s">
        <v>31</v>
      </c>
      <c r="N3" s="153"/>
      <c r="O3" s="58">
        <f>COURSELIST[[#Totals],[Credits]]</f>
        <v>141</v>
      </c>
    </row>
    <row r="4" spans="1:18" ht="15.75">
      <c r="A4" s="6" t="s">
        <v>166</v>
      </c>
      <c r="B4" s="1" t="s">
        <v>165</v>
      </c>
      <c r="C4" s="1" t="s">
        <v>141</v>
      </c>
      <c r="D4" s="1">
        <v>3</v>
      </c>
      <c r="E4" s="1" t="s">
        <v>163</v>
      </c>
      <c r="F4" s="1" t="s">
        <v>150</v>
      </c>
      <c r="G4" s="1" t="s">
        <v>150</v>
      </c>
      <c r="H4" s="1"/>
      <c r="I4" s="1"/>
      <c r="J4" s="1">
        <v>1</v>
      </c>
      <c r="M4" s="153" t="s">
        <v>4</v>
      </c>
      <c r="N4" s="153"/>
      <c r="O4" s="58">
        <f>COURSELIST[[#Totals],[Credits]]+StartingCredits</f>
        <v>152</v>
      </c>
    </row>
    <row r="5" spans="1:18">
      <c r="A5" s="2" t="s">
        <v>167</v>
      </c>
      <c r="B5" s="1" t="s">
        <v>168</v>
      </c>
      <c r="C5" s="1" t="s">
        <v>119</v>
      </c>
      <c r="D5" s="1">
        <v>3</v>
      </c>
      <c r="E5" s="1" t="s">
        <v>163</v>
      </c>
      <c r="F5" s="1" t="s">
        <v>150</v>
      </c>
      <c r="G5" s="1" t="s">
        <v>150</v>
      </c>
      <c r="H5" s="1"/>
      <c r="I5" s="1" t="s">
        <v>169</v>
      </c>
      <c r="J5" s="1">
        <v>1</v>
      </c>
    </row>
    <row r="6" spans="1:18" ht="15.75" customHeight="1">
      <c r="A6" s="1" t="s">
        <v>170</v>
      </c>
      <c r="B6" s="15" t="s">
        <v>171</v>
      </c>
      <c r="C6" s="1" t="s">
        <v>119</v>
      </c>
      <c r="D6" s="1">
        <v>3</v>
      </c>
      <c r="E6" s="1" t="s">
        <v>163</v>
      </c>
      <c r="F6" s="1" t="s">
        <v>150</v>
      </c>
      <c r="G6" s="1" t="s">
        <v>150</v>
      </c>
      <c r="H6" s="1"/>
      <c r="I6" s="1"/>
      <c r="J6" s="6">
        <v>1</v>
      </c>
    </row>
    <row r="7" spans="1:18" ht="15" customHeight="1">
      <c r="A7" s="2" t="s">
        <v>172</v>
      </c>
      <c r="B7" s="1" t="s">
        <v>173</v>
      </c>
      <c r="C7" s="1" t="s">
        <v>119</v>
      </c>
      <c r="D7" s="1">
        <v>3</v>
      </c>
      <c r="E7" s="1" t="s">
        <v>163</v>
      </c>
      <c r="F7" s="1" t="s">
        <v>150</v>
      </c>
      <c r="G7" s="1" t="s">
        <v>150</v>
      </c>
      <c r="H7" s="1"/>
      <c r="I7" s="1" t="s">
        <v>174</v>
      </c>
      <c r="J7" s="6">
        <v>1</v>
      </c>
      <c r="L7" s="157" t="s">
        <v>44</v>
      </c>
      <c r="M7" s="157"/>
      <c r="N7" s="157"/>
      <c r="O7" s="157"/>
      <c r="P7" s="157"/>
      <c r="Q7" s="157"/>
      <c r="R7" s="157"/>
    </row>
    <row r="8" spans="1:18" ht="15.75" customHeight="1">
      <c r="A8" s="1" t="s">
        <v>196</v>
      </c>
      <c r="B8" s="15" t="s">
        <v>197</v>
      </c>
      <c r="C8" s="1" t="s">
        <v>119</v>
      </c>
      <c r="D8" s="1">
        <v>3</v>
      </c>
      <c r="E8" s="1" t="s">
        <v>198</v>
      </c>
      <c r="F8" s="1" t="s">
        <v>150</v>
      </c>
      <c r="G8" s="1" t="s">
        <v>150</v>
      </c>
      <c r="H8" s="1"/>
      <c r="I8" s="1"/>
      <c r="J8" s="6">
        <v>1</v>
      </c>
      <c r="L8" s="158"/>
      <c r="M8" s="158"/>
      <c r="N8" s="158"/>
      <c r="O8" s="158"/>
      <c r="P8" s="158"/>
      <c r="Q8" s="158"/>
      <c r="R8" s="158"/>
    </row>
    <row r="9" spans="1:18" ht="15.75" customHeight="1">
      <c r="A9" s="6" t="s">
        <v>199</v>
      </c>
      <c r="B9" s="1" t="s">
        <v>200</v>
      </c>
      <c r="C9" s="1" t="s">
        <v>141</v>
      </c>
      <c r="D9" s="1">
        <v>3</v>
      </c>
      <c r="E9" s="1" t="s">
        <v>198</v>
      </c>
      <c r="F9" s="1" t="s">
        <v>150</v>
      </c>
      <c r="G9" s="1" t="s">
        <v>150</v>
      </c>
      <c r="H9" s="1"/>
      <c r="I9" s="1"/>
      <c r="J9" s="1">
        <v>1</v>
      </c>
      <c r="L9" s="50" t="s">
        <v>14</v>
      </c>
      <c r="M9" s="8" t="s">
        <v>27</v>
      </c>
      <c r="N9" s="8" t="s">
        <v>32</v>
      </c>
      <c r="O9" s="8" t="s">
        <v>33</v>
      </c>
      <c r="P9" s="8" t="s">
        <v>34</v>
      </c>
      <c r="Q9" s="8" t="s">
        <v>35</v>
      </c>
      <c r="R9" s="43" t="s">
        <v>63</v>
      </c>
    </row>
    <row r="10" spans="1:18" ht="15.75" customHeight="1">
      <c r="A10" s="2" t="s">
        <v>201</v>
      </c>
      <c r="B10" s="2" t="s">
        <v>202</v>
      </c>
      <c r="C10" s="1" t="s">
        <v>119</v>
      </c>
      <c r="D10" s="1">
        <v>3</v>
      </c>
      <c r="E10" s="1" t="s">
        <v>198</v>
      </c>
      <c r="F10" s="1" t="s">
        <v>150</v>
      </c>
      <c r="G10" s="1" t="s">
        <v>150</v>
      </c>
      <c r="H10" s="1"/>
      <c r="I10" s="1" t="s">
        <v>174</v>
      </c>
      <c r="J10" s="2">
        <v>1</v>
      </c>
      <c r="L10" s="51">
        <v>4</v>
      </c>
      <c r="M10" s="40">
        <f t="shared" ref="M10:M15" si="0">$O$3*L10</f>
        <v>564</v>
      </c>
      <c r="N10" s="41">
        <f>$M$10-M10</f>
        <v>0</v>
      </c>
      <c r="O10" s="42">
        <f t="shared" ref="O10:O15" si="1">$N10/$M$39</f>
        <v>0</v>
      </c>
      <c r="P10" s="42">
        <f t="shared" ref="P10:P15" si="2">$N10/$M$40</f>
        <v>0</v>
      </c>
      <c r="Q10" s="42">
        <f t="shared" ref="Q10:Q15" si="3">$N10/$M$41</f>
        <v>0</v>
      </c>
      <c r="R10" s="42">
        <f t="shared" ref="R10:R15" si="4">$N10/$M$42</f>
        <v>0</v>
      </c>
    </row>
    <row r="11" spans="1:18" ht="15.75" customHeight="1">
      <c r="A11" s="1" t="s">
        <v>203</v>
      </c>
      <c r="B11" s="1" t="s">
        <v>204</v>
      </c>
      <c r="C11" s="1" t="s">
        <v>119</v>
      </c>
      <c r="D11" s="1">
        <v>3</v>
      </c>
      <c r="E11" s="1" t="s">
        <v>198</v>
      </c>
      <c r="F11" s="1" t="s">
        <v>150</v>
      </c>
      <c r="G11" s="1" t="s">
        <v>150</v>
      </c>
      <c r="H11" s="1"/>
      <c r="I11" s="1"/>
      <c r="J11" s="1">
        <v>1</v>
      </c>
      <c r="L11" s="51">
        <v>3.8</v>
      </c>
      <c r="M11" s="9">
        <f t="shared" si="0"/>
        <v>535.79999999999995</v>
      </c>
      <c r="N11" s="10">
        <f t="shared" ref="N11:N15" si="5">$M$10-M11</f>
        <v>28.200000000000045</v>
      </c>
      <c r="O11" s="11">
        <f t="shared" si="1"/>
        <v>28.484848484848523</v>
      </c>
      <c r="P11" s="11">
        <f t="shared" si="2"/>
        <v>9.4000000000000146</v>
      </c>
      <c r="Q11" s="11">
        <f t="shared" si="3"/>
        <v>4.7000000000000073</v>
      </c>
      <c r="R11" s="44">
        <f t="shared" si="4"/>
        <v>3.1333333333333382</v>
      </c>
    </row>
    <row r="12" spans="1:18" ht="15.75" customHeight="1">
      <c r="A12" s="1" t="s">
        <v>205</v>
      </c>
      <c r="B12" s="15" t="s">
        <v>206</v>
      </c>
      <c r="C12" s="1" t="s">
        <v>119</v>
      </c>
      <c r="D12" s="1">
        <v>3</v>
      </c>
      <c r="E12" s="1" t="s">
        <v>198</v>
      </c>
      <c r="F12" s="1" t="s">
        <v>150</v>
      </c>
      <c r="G12" s="1" t="s">
        <v>150</v>
      </c>
      <c r="H12" s="1"/>
      <c r="I12" s="1"/>
      <c r="J12" s="1">
        <v>1</v>
      </c>
      <c r="L12" s="51">
        <v>3.5</v>
      </c>
      <c r="M12" s="9">
        <f t="shared" si="0"/>
        <v>493.5</v>
      </c>
      <c r="N12" s="10">
        <f t="shared" si="5"/>
        <v>70.5</v>
      </c>
      <c r="O12" s="11">
        <f t="shared" si="1"/>
        <v>71.21212121212119</v>
      </c>
      <c r="P12" s="11">
        <f t="shared" si="2"/>
        <v>23.5</v>
      </c>
      <c r="Q12" s="11">
        <f t="shared" si="3"/>
        <v>11.75</v>
      </c>
      <c r="R12" s="45">
        <f t="shared" si="4"/>
        <v>7.833333333333333</v>
      </c>
    </row>
    <row r="13" spans="1:18" ht="15.75" customHeight="1">
      <c r="A13" s="6" t="s">
        <v>207</v>
      </c>
      <c r="B13" s="1" t="s">
        <v>208</v>
      </c>
      <c r="C13" s="1" t="s">
        <v>141</v>
      </c>
      <c r="D13" s="1">
        <v>3</v>
      </c>
      <c r="E13" s="1" t="s">
        <v>198</v>
      </c>
      <c r="F13" s="1" t="s">
        <v>150</v>
      </c>
      <c r="G13" s="1" t="s">
        <v>150</v>
      </c>
      <c r="H13" s="1"/>
      <c r="I13" s="1" t="s">
        <v>209</v>
      </c>
      <c r="J13" s="1">
        <v>1</v>
      </c>
      <c r="L13" s="51">
        <v>3</v>
      </c>
      <c r="M13" s="9">
        <f t="shared" si="0"/>
        <v>423</v>
      </c>
      <c r="N13" s="10">
        <f t="shared" si="5"/>
        <v>141</v>
      </c>
      <c r="O13" s="11">
        <f t="shared" si="1"/>
        <v>142.42424242424238</v>
      </c>
      <c r="P13" s="11">
        <f t="shared" si="2"/>
        <v>47</v>
      </c>
      <c r="Q13" s="11">
        <f t="shared" si="3"/>
        <v>23.5</v>
      </c>
      <c r="R13" s="46">
        <f t="shared" si="4"/>
        <v>15.666666666666666</v>
      </c>
    </row>
    <row r="14" spans="1:18" ht="15.75">
      <c r="A14" s="6" t="s">
        <v>210</v>
      </c>
      <c r="B14" s="1" t="s">
        <v>211</v>
      </c>
      <c r="C14" s="1" t="s">
        <v>141</v>
      </c>
      <c r="D14" s="1">
        <v>3</v>
      </c>
      <c r="E14" s="1" t="s">
        <v>22</v>
      </c>
      <c r="F14" s="1" t="s">
        <v>150</v>
      </c>
      <c r="G14" s="1" t="s">
        <v>150</v>
      </c>
      <c r="H14" s="1"/>
      <c r="I14" s="1"/>
      <c r="J14" s="1">
        <v>1</v>
      </c>
      <c r="L14" s="51">
        <v>2.8</v>
      </c>
      <c r="M14" s="9">
        <f t="shared" si="0"/>
        <v>394.79999999999995</v>
      </c>
      <c r="N14" s="10">
        <f t="shared" si="5"/>
        <v>169.20000000000005</v>
      </c>
      <c r="O14" s="11">
        <f t="shared" si="1"/>
        <v>170.90909090909091</v>
      </c>
      <c r="P14" s="11">
        <f t="shared" si="2"/>
        <v>56.400000000000013</v>
      </c>
      <c r="Q14" s="11">
        <f t="shared" si="3"/>
        <v>28.200000000000006</v>
      </c>
      <c r="R14" s="44">
        <f t="shared" si="4"/>
        <v>18.800000000000004</v>
      </c>
    </row>
    <row r="15" spans="1:18" ht="15.75">
      <c r="A15" s="6" t="s">
        <v>212</v>
      </c>
      <c r="B15" s="1" t="s">
        <v>165</v>
      </c>
      <c r="C15" s="1" t="s">
        <v>141</v>
      </c>
      <c r="D15" s="1">
        <v>3</v>
      </c>
      <c r="E15" s="1" t="s">
        <v>22</v>
      </c>
      <c r="F15" s="1" t="s">
        <v>150</v>
      </c>
      <c r="G15" s="1" t="s">
        <v>150</v>
      </c>
      <c r="H15" s="1"/>
      <c r="I15" s="1"/>
      <c r="J15" s="6">
        <v>1</v>
      </c>
      <c r="L15" s="51">
        <v>2.5</v>
      </c>
      <c r="M15" s="9">
        <f t="shared" si="0"/>
        <v>352.5</v>
      </c>
      <c r="N15" s="10">
        <f t="shared" si="5"/>
        <v>211.5</v>
      </c>
      <c r="O15" s="11">
        <f t="shared" si="1"/>
        <v>213.6363636363636</v>
      </c>
      <c r="P15" s="11">
        <f t="shared" si="2"/>
        <v>70.5</v>
      </c>
      <c r="Q15" s="11">
        <f t="shared" si="3"/>
        <v>35.25</v>
      </c>
      <c r="R15" s="44">
        <f t="shared" si="4"/>
        <v>23.5</v>
      </c>
    </row>
    <row r="16" spans="1:18">
      <c r="A16" s="6" t="s">
        <v>213</v>
      </c>
      <c r="B16" s="1" t="s">
        <v>214</v>
      </c>
      <c r="C16" s="1" t="s">
        <v>119</v>
      </c>
      <c r="D16" s="1">
        <v>3</v>
      </c>
      <c r="E16" s="1" t="s">
        <v>22</v>
      </c>
      <c r="F16" s="1" t="s">
        <v>150</v>
      </c>
      <c r="G16" s="1" t="s">
        <v>150</v>
      </c>
      <c r="H16" s="1"/>
      <c r="I16" s="1"/>
      <c r="J16" s="1">
        <v>1</v>
      </c>
    </row>
    <row r="17" spans="1:19">
      <c r="A17" s="1" t="s">
        <v>215</v>
      </c>
      <c r="B17" s="1" t="s">
        <v>216</v>
      </c>
      <c r="C17" s="1" t="s">
        <v>119</v>
      </c>
      <c r="D17" s="1">
        <v>3</v>
      </c>
      <c r="E17" s="1" t="s">
        <v>22</v>
      </c>
      <c r="F17" s="1" t="s">
        <v>150</v>
      </c>
      <c r="G17" s="1" t="s">
        <v>150</v>
      </c>
      <c r="H17" s="1"/>
      <c r="I17" s="1"/>
      <c r="J17" s="6">
        <v>1</v>
      </c>
    </row>
    <row r="18" spans="1:19" ht="30">
      <c r="A18" s="6" t="s">
        <v>217</v>
      </c>
      <c r="B18" s="14" t="s">
        <v>218</v>
      </c>
      <c r="C18" s="1" t="s">
        <v>119</v>
      </c>
      <c r="D18" s="1">
        <v>3</v>
      </c>
      <c r="E18" s="1" t="s">
        <v>22</v>
      </c>
      <c r="F18" s="1" t="s">
        <v>150</v>
      </c>
      <c r="G18" s="1" t="s">
        <v>150</v>
      </c>
      <c r="H18" s="1"/>
      <c r="I18" s="1" t="s">
        <v>219</v>
      </c>
      <c r="J18" s="2">
        <v>1</v>
      </c>
      <c r="L18" s="156" t="s">
        <v>42</v>
      </c>
      <c r="M18" s="156"/>
      <c r="N18" s="156"/>
      <c r="O18" s="156"/>
      <c r="P18" s="156"/>
      <c r="Q18" s="156"/>
      <c r="R18" s="156"/>
    </row>
    <row r="19" spans="1:19" ht="15.75">
      <c r="A19" s="2" t="s">
        <v>220</v>
      </c>
      <c r="B19" s="1" t="s">
        <v>221</v>
      </c>
      <c r="C19" s="1" t="s">
        <v>119</v>
      </c>
      <c r="D19" s="1">
        <v>3</v>
      </c>
      <c r="E19" s="1" t="s">
        <v>22</v>
      </c>
      <c r="F19" s="1" t="s">
        <v>150</v>
      </c>
      <c r="G19" s="1" t="s">
        <v>150</v>
      </c>
      <c r="H19" s="1"/>
      <c r="I19" s="1" t="s">
        <v>174</v>
      </c>
      <c r="J19" s="1">
        <v>1</v>
      </c>
      <c r="L19" s="3" t="s">
        <v>38</v>
      </c>
      <c r="M19" s="55">
        <f>COURSELIST[[#Totals],[Grade Points]]/M20</f>
        <v>3.3136111111111113</v>
      </c>
      <c r="O19" s="153" t="s">
        <v>61</v>
      </c>
      <c r="P19" s="153"/>
      <c r="Q19" s="159"/>
      <c r="R19" s="56">
        <f>SUMIF(COURSELIST[Complete],"y",COURSELIST[Counter])</f>
        <v>26</v>
      </c>
    </row>
    <row r="20" spans="1:19" ht="15.75">
      <c r="A20" s="2" t="s">
        <v>228</v>
      </c>
      <c r="B20" s="2" t="s">
        <v>229</v>
      </c>
      <c r="C20" s="1" t="s">
        <v>119</v>
      </c>
      <c r="D20" s="1">
        <v>3</v>
      </c>
      <c r="E20" s="1" t="s">
        <v>57</v>
      </c>
      <c r="F20" s="1" t="s">
        <v>150</v>
      </c>
      <c r="G20" s="1" t="s">
        <v>150</v>
      </c>
      <c r="H20" s="1"/>
      <c r="I20" s="1" t="s">
        <v>169</v>
      </c>
      <c r="J20" s="1">
        <v>1</v>
      </c>
      <c r="L20" s="54" t="s">
        <v>37</v>
      </c>
      <c r="M20" s="55">
        <f>SUMIF(COURSELIST[Complete],"y",COURSELIST[Credits])</f>
        <v>72</v>
      </c>
      <c r="N20" s="48"/>
      <c r="O20" s="153" t="s">
        <v>60</v>
      </c>
      <c r="P20" s="153"/>
      <c r="Q20" s="159"/>
      <c r="R20" s="57">
        <f>SUMIF(COURSELIST[Complete],"n",COURSELIST[Counter])</f>
        <v>25</v>
      </c>
    </row>
    <row r="21" spans="1:19" ht="15.75">
      <c r="A21" s="7" t="s">
        <v>117</v>
      </c>
      <c r="B21" s="7" t="s">
        <v>118</v>
      </c>
      <c r="C21" s="7" t="s">
        <v>119</v>
      </c>
      <c r="D21" s="1"/>
      <c r="E21" s="19" t="s">
        <v>120</v>
      </c>
      <c r="F21" s="7" t="s">
        <v>121</v>
      </c>
      <c r="G21" s="1" t="s">
        <v>121</v>
      </c>
      <c r="H21" s="7">
        <v>0</v>
      </c>
      <c r="I21" s="7"/>
      <c r="J21" s="1">
        <v>1</v>
      </c>
      <c r="L21" s="3" t="s">
        <v>27</v>
      </c>
      <c r="M21" s="55">
        <f>COURSELIST[[#Totals],[Grade Points]]</f>
        <v>238.58</v>
      </c>
      <c r="S21" s="47"/>
    </row>
    <row r="22" spans="1:19" ht="15.75">
      <c r="A22" s="1" t="s">
        <v>122</v>
      </c>
      <c r="B22" s="1" t="s">
        <v>123</v>
      </c>
      <c r="C22" s="1" t="s">
        <v>119</v>
      </c>
      <c r="D22" s="1">
        <v>3</v>
      </c>
      <c r="E22" s="1" t="s">
        <v>124</v>
      </c>
      <c r="F22" s="1" t="s">
        <v>121</v>
      </c>
      <c r="G22" s="1" t="s">
        <v>121</v>
      </c>
      <c r="H22" s="1">
        <v>12</v>
      </c>
      <c r="I22" s="1"/>
      <c r="J22" s="1">
        <v>1</v>
      </c>
      <c r="L22" s="22" t="s">
        <v>39</v>
      </c>
      <c r="M22" s="56">
        <f>M20*4</f>
        <v>288</v>
      </c>
      <c r="N22" s="22"/>
      <c r="P22" s="30"/>
      <c r="Q22" s="47"/>
      <c r="S22" s="47"/>
    </row>
    <row r="23" spans="1:19" ht="15.75">
      <c r="A23" s="1" t="s">
        <v>125</v>
      </c>
      <c r="B23" s="1" t="s">
        <v>126</v>
      </c>
      <c r="C23" s="1" t="s">
        <v>127</v>
      </c>
      <c r="D23" s="1">
        <v>3</v>
      </c>
      <c r="E23" s="1" t="s">
        <v>1</v>
      </c>
      <c r="F23" s="1" t="s">
        <v>121</v>
      </c>
      <c r="G23" s="1" t="s">
        <v>121</v>
      </c>
      <c r="H23" s="1">
        <v>9</v>
      </c>
      <c r="I23" s="1"/>
      <c r="J23" s="1">
        <v>1</v>
      </c>
      <c r="L23" s="3" t="s">
        <v>40</v>
      </c>
      <c r="M23" s="57">
        <f>M22-M21</f>
        <v>49.419999999999987</v>
      </c>
      <c r="N23" s="30"/>
      <c r="O23" s="30"/>
      <c r="P23" s="30"/>
      <c r="Q23" s="47"/>
    </row>
    <row r="24" spans="1:19">
      <c r="A24" s="1" t="s">
        <v>128</v>
      </c>
      <c r="B24" s="1" t="s">
        <v>129</v>
      </c>
      <c r="C24" s="1" t="s">
        <v>127</v>
      </c>
      <c r="D24" s="1">
        <v>3</v>
      </c>
      <c r="E24" s="1" t="s">
        <v>1</v>
      </c>
      <c r="F24" s="1" t="s">
        <v>121</v>
      </c>
      <c r="G24" s="1" t="s">
        <v>121</v>
      </c>
      <c r="H24" s="1">
        <v>9</v>
      </c>
      <c r="I24" s="1"/>
      <c r="J24" s="6">
        <v>1</v>
      </c>
    </row>
    <row r="25" spans="1:19">
      <c r="A25" s="1" t="s">
        <v>130</v>
      </c>
      <c r="B25" s="1" t="s">
        <v>131</v>
      </c>
      <c r="C25" s="1" t="s">
        <v>127</v>
      </c>
      <c r="D25" s="1">
        <v>3</v>
      </c>
      <c r="E25" s="1" t="s">
        <v>1</v>
      </c>
      <c r="F25" s="1" t="s">
        <v>121</v>
      </c>
      <c r="G25" s="1" t="s">
        <v>121</v>
      </c>
      <c r="H25" s="1">
        <v>9</v>
      </c>
      <c r="I25" s="1"/>
      <c r="J25" s="1">
        <v>1</v>
      </c>
    </row>
    <row r="26" spans="1:19" ht="15.75">
      <c r="A26" s="1" t="s">
        <v>132</v>
      </c>
      <c r="B26" s="1" t="s">
        <v>133</v>
      </c>
      <c r="C26" s="1" t="s">
        <v>127</v>
      </c>
      <c r="D26" s="1">
        <v>1</v>
      </c>
      <c r="E26" s="1" t="s">
        <v>1</v>
      </c>
      <c r="F26" s="1" t="s">
        <v>121</v>
      </c>
      <c r="G26" s="1" t="s">
        <v>121</v>
      </c>
      <c r="H26" s="1">
        <v>4</v>
      </c>
      <c r="I26" s="1"/>
      <c r="J26" s="1">
        <v>1</v>
      </c>
      <c r="L26" s="155" t="s">
        <v>41</v>
      </c>
      <c r="M26" s="155"/>
      <c r="N26" s="155"/>
      <c r="O26" s="155"/>
      <c r="P26" s="155"/>
      <c r="Q26" s="155"/>
      <c r="R26" s="155"/>
    </row>
    <row r="27" spans="1:19">
      <c r="A27" s="1" t="s">
        <v>134</v>
      </c>
      <c r="B27" s="1" t="s">
        <v>135</v>
      </c>
      <c r="C27" s="1" t="s">
        <v>119</v>
      </c>
      <c r="D27" s="1">
        <v>3</v>
      </c>
      <c r="E27" s="1" t="s">
        <v>1</v>
      </c>
      <c r="F27" s="1" t="s">
        <v>121</v>
      </c>
      <c r="G27" s="1" t="s">
        <v>121</v>
      </c>
      <c r="H27" s="1">
        <v>12</v>
      </c>
      <c r="I27" s="1"/>
      <c r="J27" s="1">
        <v>1</v>
      </c>
      <c r="L27" s="50" t="s">
        <v>14</v>
      </c>
      <c r="M27" s="16" t="s">
        <v>45</v>
      </c>
      <c r="N27" s="16" t="s">
        <v>33</v>
      </c>
      <c r="O27" s="16" t="s">
        <v>34</v>
      </c>
      <c r="P27" s="16" t="s">
        <v>35</v>
      </c>
      <c r="Q27" s="43" t="s">
        <v>63</v>
      </c>
      <c r="R27" s="43" t="s">
        <v>98</v>
      </c>
    </row>
    <row r="28" spans="1:19" ht="15.75">
      <c r="A28" s="1" t="s">
        <v>136</v>
      </c>
      <c r="B28" s="1" t="s">
        <v>137</v>
      </c>
      <c r="C28" s="1" t="s">
        <v>119</v>
      </c>
      <c r="D28" s="1">
        <v>3</v>
      </c>
      <c r="E28" s="1" t="s">
        <v>138</v>
      </c>
      <c r="F28" s="1" t="s">
        <v>121</v>
      </c>
      <c r="G28" s="1" t="s">
        <v>121</v>
      </c>
      <c r="H28" s="1">
        <v>6</v>
      </c>
      <c r="I28" s="1"/>
      <c r="J28" s="1">
        <v>1</v>
      </c>
      <c r="L28" s="53">
        <v>4</v>
      </c>
      <c r="M28" s="9">
        <f t="shared" ref="M28:M33" si="6">N10-$M$23</f>
        <v>-49.419999999999987</v>
      </c>
      <c r="N28" s="13">
        <f>Table16182047[[#This Row],[GP can lose]]/$M$39</f>
        <v>-49.919191919191896</v>
      </c>
      <c r="O28" s="13">
        <f>Table16182047[[#This Row],[GP can lose]]/$M$40</f>
        <v>-16.473333333333329</v>
      </c>
      <c r="P28" s="13">
        <f>Table16182047[[#This Row],[GP can lose]]/$M$41</f>
        <v>-8.2366666666666646</v>
      </c>
      <c r="Q28" s="13">
        <f>Table16182047[[#This Row],[GP can lose]]/$M$42</f>
        <v>-5.4911111111111097</v>
      </c>
      <c r="R28" s="44">
        <f>Table16182047[[#This Row],[GP can lose]]/$M$43</f>
        <v>-4.1183333333333323</v>
      </c>
    </row>
    <row r="29" spans="1:19" ht="15.75">
      <c r="A29" s="6" t="s">
        <v>139</v>
      </c>
      <c r="B29" s="1" t="s">
        <v>140</v>
      </c>
      <c r="C29" s="1" t="s">
        <v>141</v>
      </c>
      <c r="D29" s="1">
        <v>3</v>
      </c>
      <c r="E29" s="1" t="s">
        <v>138</v>
      </c>
      <c r="F29" s="1" t="s">
        <v>121</v>
      </c>
      <c r="G29" s="1" t="s">
        <v>121</v>
      </c>
      <c r="H29" s="1">
        <v>9</v>
      </c>
      <c r="I29" s="1"/>
      <c r="J29" s="1">
        <v>1</v>
      </c>
      <c r="L29" s="53">
        <v>3.8</v>
      </c>
      <c r="M29" s="9">
        <f t="shared" si="6"/>
        <v>-21.219999999999942</v>
      </c>
      <c r="N29" s="13">
        <f>Table16182047[[#This Row],[GP can lose]]/$M$39</f>
        <v>-21.434343434343372</v>
      </c>
      <c r="O29" s="13">
        <f>Table16182047[[#This Row],[GP can lose]]/$M$40</f>
        <v>-7.0733333333333137</v>
      </c>
      <c r="P29" s="13">
        <f>Table16182047[[#This Row],[GP can lose]]/$M$41</f>
        <v>-3.5366666666666569</v>
      </c>
      <c r="Q29" s="13">
        <f>Table16182047[[#This Row],[GP can lose]]/$M$42</f>
        <v>-2.3577777777777715</v>
      </c>
      <c r="R29" s="44">
        <f>Table16182047[[#This Row],[GP can lose]]/$M$43</f>
        <v>-1.7683333333333284</v>
      </c>
    </row>
    <row r="30" spans="1:19" ht="15.75">
      <c r="A30" s="6" t="s">
        <v>142</v>
      </c>
      <c r="B30" s="1" t="s">
        <v>143</v>
      </c>
      <c r="C30" s="1" t="s">
        <v>119</v>
      </c>
      <c r="D30" s="1">
        <v>3</v>
      </c>
      <c r="E30" s="1" t="s">
        <v>0</v>
      </c>
      <c r="F30" s="1" t="s">
        <v>121</v>
      </c>
      <c r="G30" s="1" t="s">
        <v>121</v>
      </c>
      <c r="H30" s="1">
        <v>9.99</v>
      </c>
      <c r="I30" s="1"/>
      <c r="J30" s="1">
        <v>1</v>
      </c>
      <c r="L30" s="53">
        <v>3.5</v>
      </c>
      <c r="M30" s="9">
        <f t="shared" si="6"/>
        <v>21.080000000000013</v>
      </c>
      <c r="N30" s="13">
        <f>Table16182047[[#This Row],[GP can lose]]/$M$39</f>
        <v>21.292929292929301</v>
      </c>
      <c r="O30" s="13">
        <f>Table16182047[[#This Row],[GP can lose]]/$M$40</f>
        <v>7.0266666666666708</v>
      </c>
      <c r="P30" s="13">
        <f>Table16182047[[#This Row],[GP can lose]]/$M$41</f>
        <v>3.5133333333333354</v>
      </c>
      <c r="Q30" s="13">
        <f>Table16182047[[#This Row],[GP can lose]]/$M$42</f>
        <v>2.3422222222222238</v>
      </c>
      <c r="R30" s="44">
        <f>Table16182047[[#This Row],[GP can lose]]/$M$43</f>
        <v>1.7566666666666677</v>
      </c>
    </row>
    <row r="31" spans="1:19" ht="15.75">
      <c r="A31" s="2" t="s">
        <v>144</v>
      </c>
      <c r="B31" s="1" t="s">
        <v>145</v>
      </c>
      <c r="C31" s="1" t="s">
        <v>119</v>
      </c>
      <c r="D31" s="1">
        <v>3</v>
      </c>
      <c r="E31" s="1" t="s">
        <v>0</v>
      </c>
      <c r="F31" s="1" t="s">
        <v>121</v>
      </c>
      <c r="G31" s="1" t="s">
        <v>121</v>
      </c>
      <c r="H31" s="1">
        <v>12</v>
      </c>
      <c r="I31" s="1"/>
      <c r="J31" s="1">
        <v>1</v>
      </c>
      <c r="L31" s="53">
        <v>3</v>
      </c>
      <c r="M31" s="9">
        <f t="shared" si="6"/>
        <v>91.580000000000013</v>
      </c>
      <c r="N31" s="13">
        <f>Table16182047[[#This Row],[GP can lose]]/$M$39</f>
        <v>92.505050505050491</v>
      </c>
      <c r="O31" s="13">
        <f>Table16182047[[#This Row],[GP can lose]]/$M$40</f>
        <v>30.526666666666671</v>
      </c>
      <c r="P31" s="13">
        <f>Table16182047[[#This Row],[GP can lose]]/$M$41</f>
        <v>15.263333333333335</v>
      </c>
      <c r="Q31" s="13">
        <f>Table16182047[[#This Row],[GP can lose]]/$M$42</f>
        <v>10.175555555555556</v>
      </c>
      <c r="R31" s="44">
        <f>Table16182047[[#This Row],[GP can lose]]/$M$43</f>
        <v>7.6316666666666677</v>
      </c>
    </row>
    <row r="32" spans="1:19" ht="15.75">
      <c r="A32" s="1" t="s">
        <v>146</v>
      </c>
      <c r="B32" s="1" t="s">
        <v>147</v>
      </c>
      <c r="C32" s="1" t="s">
        <v>141</v>
      </c>
      <c r="D32" s="1">
        <v>3</v>
      </c>
      <c r="E32" s="1" t="s">
        <v>0</v>
      </c>
      <c r="F32" s="1" t="s">
        <v>121</v>
      </c>
      <c r="G32" s="1" t="s">
        <v>121</v>
      </c>
      <c r="H32" s="1">
        <v>3</v>
      </c>
      <c r="I32" s="1"/>
      <c r="J32" s="1">
        <v>1</v>
      </c>
      <c r="L32" s="53">
        <v>2.8</v>
      </c>
      <c r="M32" s="9">
        <f t="shared" si="6"/>
        <v>119.78000000000006</v>
      </c>
      <c r="N32" s="13">
        <f>Table16182047[[#This Row],[GP can lose]]/$M$39</f>
        <v>120.98989898989902</v>
      </c>
      <c r="O32" s="13">
        <f>Table16182047[[#This Row],[GP can lose]]/$M$40</f>
        <v>39.926666666666684</v>
      </c>
      <c r="P32" s="13">
        <f>Table16182047[[#This Row],[GP can lose]]/$M$41</f>
        <v>19.963333333333342</v>
      </c>
      <c r="Q32" s="13">
        <f>Table16182047[[#This Row],[GP can lose]]/$M$42</f>
        <v>13.308888888888895</v>
      </c>
      <c r="R32" s="44">
        <f>Table16182047[[#This Row],[GP can lose]]/$M$43</f>
        <v>9.9816666666666709</v>
      </c>
    </row>
    <row r="33" spans="1:18" ht="15.75">
      <c r="A33" s="2" t="s">
        <v>148</v>
      </c>
      <c r="B33" s="1" t="s">
        <v>149</v>
      </c>
      <c r="C33" s="1" t="s">
        <v>119</v>
      </c>
      <c r="D33" s="1">
        <v>0</v>
      </c>
      <c r="E33" s="1" t="s">
        <v>103</v>
      </c>
      <c r="F33" s="1" t="s">
        <v>121</v>
      </c>
      <c r="G33" s="1" t="s">
        <v>150</v>
      </c>
      <c r="H33" s="1">
        <v>0</v>
      </c>
      <c r="I33" s="1"/>
      <c r="J33" s="1">
        <v>1</v>
      </c>
      <c r="L33" s="53">
        <v>2.5</v>
      </c>
      <c r="M33" s="52">
        <f t="shared" si="6"/>
        <v>162.08000000000001</v>
      </c>
      <c r="N33" s="13">
        <f>Table16182047[[#This Row],[GP can lose]]/$M$39</f>
        <v>163.71717171717168</v>
      </c>
      <c r="O33" s="13">
        <f>Table16182047[[#This Row],[GP can lose]]/$M$40</f>
        <v>54.026666666666671</v>
      </c>
      <c r="P33" s="13">
        <f>Table16182047[[#This Row],[GP can lose]]/$M$41</f>
        <v>27.013333333333335</v>
      </c>
      <c r="Q33" s="13">
        <f>Table16182047[[#This Row],[GP can lose]]/$M$42</f>
        <v>18.00888888888889</v>
      </c>
      <c r="R33" s="44">
        <f>Table16182047[[#This Row],[GP can lose]]/$M$43</f>
        <v>13.506666666666668</v>
      </c>
    </row>
    <row r="34" spans="1:18">
      <c r="A34" s="2" t="s">
        <v>151</v>
      </c>
      <c r="B34" s="1" t="s">
        <v>152</v>
      </c>
      <c r="C34" s="1" t="s">
        <v>119</v>
      </c>
      <c r="D34" s="1">
        <v>0</v>
      </c>
      <c r="E34" s="1" t="s">
        <v>103</v>
      </c>
      <c r="F34" s="1" t="s">
        <v>121</v>
      </c>
      <c r="G34" s="1" t="s">
        <v>150</v>
      </c>
      <c r="H34" s="1">
        <v>0</v>
      </c>
      <c r="I34" s="1"/>
      <c r="J34" s="1">
        <v>1</v>
      </c>
      <c r="M34" s="8"/>
    </row>
    <row r="35" spans="1:18">
      <c r="A35" s="1" t="s">
        <v>153</v>
      </c>
      <c r="B35" s="1" t="s">
        <v>154</v>
      </c>
      <c r="C35" s="1" t="s">
        <v>127</v>
      </c>
      <c r="D35" s="1">
        <v>3</v>
      </c>
      <c r="E35" s="1" t="s">
        <v>103</v>
      </c>
      <c r="F35" s="1" t="s">
        <v>121</v>
      </c>
      <c r="G35" s="1" t="s">
        <v>150</v>
      </c>
      <c r="H35" s="1">
        <v>0</v>
      </c>
      <c r="I35" s="1"/>
      <c r="J35" s="1">
        <v>1</v>
      </c>
    </row>
    <row r="36" spans="1:18">
      <c r="A36" s="6" t="s">
        <v>155</v>
      </c>
      <c r="B36" s="1" t="s">
        <v>156</v>
      </c>
      <c r="C36" s="1" t="s">
        <v>141</v>
      </c>
      <c r="D36" s="1">
        <v>3</v>
      </c>
      <c r="E36" s="1" t="s">
        <v>103</v>
      </c>
      <c r="F36" s="1" t="s">
        <v>121</v>
      </c>
      <c r="G36" s="1" t="s">
        <v>150</v>
      </c>
      <c r="H36" s="1">
        <v>0</v>
      </c>
      <c r="I36" s="1"/>
      <c r="J36" s="1">
        <v>1</v>
      </c>
    </row>
    <row r="37" spans="1:18">
      <c r="A37" s="6" t="s">
        <v>157</v>
      </c>
      <c r="B37" s="2" t="s">
        <v>158</v>
      </c>
      <c r="C37" s="1" t="s">
        <v>127</v>
      </c>
      <c r="D37" s="1">
        <v>3</v>
      </c>
      <c r="E37" s="1" t="s">
        <v>103</v>
      </c>
      <c r="F37" s="1" t="s">
        <v>121</v>
      </c>
      <c r="G37" s="1" t="s">
        <v>150</v>
      </c>
      <c r="H37" s="1">
        <v>0</v>
      </c>
      <c r="I37" s="1"/>
      <c r="J37" s="1">
        <v>1</v>
      </c>
      <c r="L37" s="49" t="s">
        <v>47</v>
      </c>
      <c r="M37" s="49"/>
    </row>
    <row r="38" spans="1:18">
      <c r="A38" s="6" t="s">
        <v>159</v>
      </c>
      <c r="B38" s="1" t="s">
        <v>160</v>
      </c>
      <c r="C38" s="1" t="s">
        <v>141</v>
      </c>
      <c r="D38" s="1">
        <v>3</v>
      </c>
      <c r="E38" s="1" t="s">
        <v>103</v>
      </c>
      <c r="F38" s="1" t="s">
        <v>121</v>
      </c>
      <c r="G38" s="1" t="s">
        <v>150</v>
      </c>
      <c r="H38" s="1">
        <v>0</v>
      </c>
      <c r="I38" s="1"/>
      <c r="J38" s="1">
        <v>1</v>
      </c>
      <c r="L38" s="49" t="s">
        <v>48</v>
      </c>
      <c r="M38" s="49">
        <f>3*4-3*4</f>
        <v>0</v>
      </c>
    </row>
    <row r="39" spans="1:18">
      <c r="A39" s="1" t="s">
        <v>175</v>
      </c>
      <c r="B39" s="1" t="s">
        <v>176</v>
      </c>
      <c r="C39" s="1" t="s">
        <v>127</v>
      </c>
      <c r="D39" s="1">
        <v>4</v>
      </c>
      <c r="E39" s="1" t="s">
        <v>2</v>
      </c>
      <c r="F39" s="1" t="s">
        <v>121</v>
      </c>
      <c r="G39" s="1" t="s">
        <v>121</v>
      </c>
      <c r="H39" s="1">
        <v>12</v>
      </c>
      <c r="I39" s="1"/>
      <c r="J39" s="1">
        <v>1</v>
      </c>
      <c r="L39" s="49" t="s">
        <v>49</v>
      </c>
      <c r="M39" s="49">
        <f>3*4-3*3.67</f>
        <v>0.99000000000000021</v>
      </c>
    </row>
    <row r="40" spans="1:18">
      <c r="A40" s="1" t="s">
        <v>177</v>
      </c>
      <c r="B40" s="1" t="s">
        <v>178</v>
      </c>
      <c r="C40" s="1" t="s">
        <v>119</v>
      </c>
      <c r="D40" s="1">
        <v>3</v>
      </c>
      <c r="E40" s="1" t="s">
        <v>2</v>
      </c>
      <c r="F40" s="1" t="s">
        <v>121</v>
      </c>
      <c r="G40" s="1" t="s">
        <v>121</v>
      </c>
      <c r="H40" s="1">
        <v>12</v>
      </c>
      <c r="I40" s="1"/>
      <c r="J40" s="6">
        <v>1</v>
      </c>
      <c r="L40" s="49" t="s">
        <v>50</v>
      </c>
      <c r="M40" s="49">
        <f>3*4-3*3</f>
        <v>3</v>
      </c>
    </row>
    <row r="41" spans="1:18">
      <c r="A41" s="1" t="s">
        <v>179</v>
      </c>
      <c r="B41" s="1" t="s">
        <v>180</v>
      </c>
      <c r="C41" s="1" t="s">
        <v>127</v>
      </c>
      <c r="D41" s="1">
        <v>3</v>
      </c>
      <c r="E41" s="1" t="s">
        <v>2</v>
      </c>
      <c r="F41" s="1" t="s">
        <v>121</v>
      </c>
      <c r="G41" s="1" t="s">
        <v>121</v>
      </c>
      <c r="H41" s="1">
        <v>11</v>
      </c>
      <c r="I41" s="1"/>
      <c r="J41" s="1">
        <v>1</v>
      </c>
      <c r="L41" s="49" t="s">
        <v>51</v>
      </c>
      <c r="M41" s="49">
        <f>3*4-3*2</f>
        <v>6</v>
      </c>
    </row>
    <row r="42" spans="1:18">
      <c r="A42" s="2" t="s">
        <v>181</v>
      </c>
      <c r="B42" s="1" t="s">
        <v>182</v>
      </c>
      <c r="C42" s="1" t="s">
        <v>119</v>
      </c>
      <c r="D42" s="1">
        <v>3</v>
      </c>
      <c r="E42" s="1" t="s">
        <v>2</v>
      </c>
      <c r="F42" s="1" t="s">
        <v>121</v>
      </c>
      <c r="G42" s="1" t="s">
        <v>121</v>
      </c>
      <c r="H42" s="1">
        <v>11</v>
      </c>
      <c r="I42" s="1"/>
      <c r="J42" s="1">
        <v>1</v>
      </c>
      <c r="L42" s="49" t="s">
        <v>52</v>
      </c>
      <c r="M42" s="49">
        <f>3*4-3*1</f>
        <v>9</v>
      </c>
    </row>
    <row r="43" spans="1:18">
      <c r="A43" s="1" t="s">
        <v>183</v>
      </c>
      <c r="B43" s="1" t="s">
        <v>184</v>
      </c>
      <c r="C43" s="1" t="s">
        <v>127</v>
      </c>
      <c r="D43" s="1">
        <v>1</v>
      </c>
      <c r="E43" s="1" t="s">
        <v>2</v>
      </c>
      <c r="F43" s="1" t="s">
        <v>121</v>
      </c>
      <c r="G43" s="1" t="s">
        <v>121</v>
      </c>
      <c r="H43" s="1">
        <v>2.6</v>
      </c>
      <c r="I43" s="1"/>
      <c r="J43" s="2">
        <v>1</v>
      </c>
      <c r="L43" s="49" t="s">
        <v>53</v>
      </c>
      <c r="M43" s="49">
        <f>3*4-3*0</f>
        <v>12</v>
      </c>
    </row>
    <row r="44" spans="1:18">
      <c r="A44" s="6" t="s">
        <v>185</v>
      </c>
      <c r="B44" s="1" t="s">
        <v>186</v>
      </c>
      <c r="C44" s="1" t="s">
        <v>119</v>
      </c>
      <c r="D44" s="1">
        <v>3</v>
      </c>
      <c r="E44" s="1" t="s">
        <v>187</v>
      </c>
      <c r="F44" s="1" t="s">
        <v>121</v>
      </c>
      <c r="G44" s="1" t="s">
        <v>121</v>
      </c>
      <c r="H44" s="1">
        <v>9.99</v>
      </c>
      <c r="I44" s="1"/>
      <c r="J44" s="1">
        <v>1</v>
      </c>
    </row>
    <row r="45" spans="1:18">
      <c r="A45" s="1" t="s">
        <v>188</v>
      </c>
      <c r="B45" s="1" t="s">
        <v>189</v>
      </c>
      <c r="C45" s="1" t="s">
        <v>141</v>
      </c>
      <c r="D45" s="1">
        <v>3</v>
      </c>
      <c r="E45" s="1" t="s">
        <v>3</v>
      </c>
      <c r="F45" s="1" t="s">
        <v>121</v>
      </c>
      <c r="G45" s="1" t="s">
        <v>121</v>
      </c>
      <c r="H45" s="1">
        <v>12</v>
      </c>
      <c r="I45" s="1"/>
      <c r="J45" s="1">
        <v>1</v>
      </c>
    </row>
    <row r="46" spans="1:18">
      <c r="A46" s="1" t="s">
        <v>190</v>
      </c>
      <c r="B46" s="1" t="s">
        <v>191</v>
      </c>
      <c r="C46" s="1" t="s">
        <v>141</v>
      </c>
      <c r="D46" s="1">
        <v>3</v>
      </c>
      <c r="E46" s="1" t="s">
        <v>3</v>
      </c>
      <c r="F46" s="1" t="s">
        <v>121</v>
      </c>
      <c r="G46" s="1" t="s">
        <v>121</v>
      </c>
      <c r="H46" s="1">
        <v>11</v>
      </c>
      <c r="I46" s="1"/>
      <c r="J46" s="6">
        <v>1</v>
      </c>
    </row>
    <row r="47" spans="1:18">
      <c r="A47" s="6" t="s">
        <v>192</v>
      </c>
      <c r="B47" s="1" t="s">
        <v>193</v>
      </c>
      <c r="C47" s="1" t="s">
        <v>119</v>
      </c>
      <c r="D47" s="1">
        <v>3</v>
      </c>
      <c r="E47" s="1" t="s">
        <v>3</v>
      </c>
      <c r="F47" s="1" t="s">
        <v>121</v>
      </c>
      <c r="G47" s="1" t="s">
        <v>121</v>
      </c>
      <c r="H47" s="1">
        <v>9</v>
      </c>
      <c r="I47" s="1"/>
      <c r="J47" s="1">
        <v>1</v>
      </c>
    </row>
    <row r="48" spans="1:18" ht="15" customHeight="1">
      <c r="A48" s="6" t="s">
        <v>194</v>
      </c>
      <c r="B48" s="1" t="s">
        <v>195</v>
      </c>
      <c r="C48" s="1" t="s">
        <v>119</v>
      </c>
      <c r="D48" s="1">
        <v>3</v>
      </c>
      <c r="E48" s="1" t="s">
        <v>3</v>
      </c>
      <c r="F48" s="1" t="s">
        <v>121</v>
      </c>
      <c r="G48" s="1" t="s">
        <v>121</v>
      </c>
      <c r="H48" s="1">
        <v>8</v>
      </c>
      <c r="I48" s="1"/>
      <c r="J48" s="6">
        <v>1</v>
      </c>
    </row>
    <row r="49" spans="1:15">
      <c r="A49" s="6" t="s">
        <v>222</v>
      </c>
      <c r="B49" s="1" t="s">
        <v>223</v>
      </c>
      <c r="C49" s="1" t="s">
        <v>141</v>
      </c>
      <c r="D49" s="1">
        <v>3</v>
      </c>
      <c r="E49" s="1" t="s">
        <v>58</v>
      </c>
      <c r="F49" s="1" t="s">
        <v>121</v>
      </c>
      <c r="G49" s="1" t="s">
        <v>121</v>
      </c>
      <c r="H49" s="1">
        <v>12</v>
      </c>
      <c r="I49" s="1" t="s">
        <v>169</v>
      </c>
      <c r="J49" s="1">
        <v>1</v>
      </c>
    </row>
    <row r="50" spans="1:15">
      <c r="A50" s="1" t="s">
        <v>224</v>
      </c>
      <c r="B50" s="1" t="s">
        <v>225</v>
      </c>
      <c r="C50" s="1" t="s">
        <v>127</v>
      </c>
      <c r="D50" s="1">
        <v>3</v>
      </c>
      <c r="E50" s="1" t="s">
        <v>58</v>
      </c>
      <c r="F50" s="1" t="s">
        <v>121</v>
      </c>
      <c r="G50" s="1" t="s">
        <v>121</v>
      </c>
      <c r="H50" s="1">
        <v>12</v>
      </c>
      <c r="I50" s="1" t="s">
        <v>169</v>
      </c>
      <c r="J50" s="1">
        <v>1</v>
      </c>
    </row>
    <row r="51" spans="1:15" ht="15" customHeight="1">
      <c r="A51" s="2" t="s">
        <v>226</v>
      </c>
      <c r="B51" s="2" t="s">
        <v>227</v>
      </c>
      <c r="C51" s="1" t="s">
        <v>119</v>
      </c>
      <c r="D51" s="1">
        <v>3</v>
      </c>
      <c r="E51" s="1" t="s">
        <v>58</v>
      </c>
      <c r="F51" s="1" t="s">
        <v>121</v>
      </c>
      <c r="G51" s="1" t="s">
        <v>121</v>
      </c>
      <c r="H51" s="1">
        <v>9</v>
      </c>
      <c r="I51" s="1" t="s">
        <v>169</v>
      </c>
      <c r="J51" s="1">
        <v>1</v>
      </c>
    </row>
    <row r="52" spans="1:15">
      <c r="A52" s="6" t="s">
        <v>230</v>
      </c>
      <c r="B52" s="1" t="s">
        <v>231</v>
      </c>
      <c r="C52" s="1" t="s">
        <v>127</v>
      </c>
      <c r="D52" s="1">
        <v>3</v>
      </c>
      <c r="E52" s="1" t="s">
        <v>15</v>
      </c>
      <c r="F52" s="1" t="s">
        <v>121</v>
      </c>
      <c r="G52" s="1" t="s">
        <v>121</v>
      </c>
      <c r="H52" s="1">
        <v>12</v>
      </c>
      <c r="I52" s="1"/>
      <c r="J52" s="1">
        <v>1</v>
      </c>
    </row>
    <row r="53" spans="1:15">
      <c r="A53" s="6"/>
      <c r="B53" s="15"/>
      <c r="C53" s="1"/>
      <c r="D53" s="1"/>
      <c r="E53" s="1"/>
      <c r="F53" s="1"/>
      <c r="G53" s="1"/>
      <c r="H53" s="1"/>
      <c r="I53" s="1"/>
      <c r="J53" s="1">
        <v>1</v>
      </c>
    </row>
    <row r="54" spans="1:15" ht="21">
      <c r="A54" s="6"/>
      <c r="B54" s="1"/>
      <c r="C54" s="1"/>
      <c r="D54" s="1"/>
      <c r="E54" s="1"/>
      <c r="F54" s="1"/>
      <c r="G54" s="1"/>
      <c r="H54" s="1"/>
      <c r="I54" s="1"/>
      <c r="J54" s="1">
        <v>1</v>
      </c>
      <c r="K54" s="21"/>
    </row>
    <row r="55" spans="1:15">
      <c r="A55" s="1"/>
      <c r="B55" s="1"/>
      <c r="C55" s="1"/>
      <c r="D55" s="1"/>
      <c r="E55" s="1"/>
      <c r="F55" s="1"/>
      <c r="G55" s="1"/>
      <c r="H55" s="1"/>
      <c r="I55" s="1"/>
      <c r="J55" s="1">
        <v>1</v>
      </c>
    </row>
    <row r="56" spans="1:15">
      <c r="A56" s="1"/>
      <c r="B56" s="1"/>
      <c r="C56" s="1"/>
      <c r="D56" s="1"/>
      <c r="E56" s="1"/>
      <c r="F56" s="1"/>
      <c r="G56" s="1"/>
      <c r="H56" s="1"/>
      <c r="I56" s="1"/>
      <c r="J56" s="1">
        <v>1</v>
      </c>
    </row>
    <row r="57" spans="1:15">
      <c r="A57" s="6"/>
      <c r="B57" s="1"/>
      <c r="C57" s="1"/>
      <c r="D57" s="1"/>
      <c r="E57" s="1"/>
      <c r="F57" s="1"/>
      <c r="G57" s="1"/>
      <c r="H57" s="1"/>
      <c r="I57" s="1"/>
      <c r="J57" s="1">
        <v>1</v>
      </c>
    </row>
    <row r="58" spans="1:15">
      <c r="A58" s="6"/>
      <c r="B58" s="1"/>
      <c r="C58" s="1"/>
      <c r="D58" s="1"/>
      <c r="E58" s="1"/>
      <c r="F58" s="1"/>
      <c r="G58" s="1"/>
      <c r="H58" s="1"/>
      <c r="I58" s="1"/>
      <c r="J58" s="1">
        <v>1</v>
      </c>
      <c r="L58" s="22"/>
      <c r="M58" s="22"/>
      <c r="N58" s="22"/>
      <c r="O58" s="22"/>
    </row>
    <row r="59" spans="1:15">
      <c r="A59" s="6"/>
      <c r="B59" s="1"/>
      <c r="C59" s="1"/>
      <c r="D59" s="1"/>
      <c r="E59" s="1"/>
      <c r="F59" s="1"/>
      <c r="G59" s="1"/>
      <c r="H59" s="1"/>
      <c r="I59" s="1"/>
      <c r="J59" s="1">
        <v>1</v>
      </c>
    </row>
    <row r="60" spans="1:15">
      <c r="A60" s="6"/>
      <c r="B60" s="1"/>
      <c r="C60" s="1"/>
      <c r="D60" s="1"/>
      <c r="E60" s="1"/>
      <c r="F60" s="1"/>
      <c r="G60" s="1"/>
      <c r="H60" s="1"/>
      <c r="I60" s="1"/>
      <c r="J60" s="1">
        <v>1</v>
      </c>
      <c r="L60" s="23"/>
    </row>
    <row r="61" spans="1:15">
      <c r="A61" s="6"/>
      <c r="B61" s="1"/>
      <c r="C61" s="1"/>
      <c r="D61" s="1"/>
      <c r="E61" s="1"/>
      <c r="F61" s="1"/>
      <c r="G61" s="1"/>
      <c r="H61" s="1"/>
      <c r="I61" s="1"/>
      <c r="J61" s="1">
        <v>1</v>
      </c>
      <c r="L61" s="23"/>
    </row>
    <row r="62" spans="1:15">
      <c r="A62" s="6"/>
      <c r="B62" s="1"/>
      <c r="C62" s="1"/>
      <c r="D62" s="1"/>
      <c r="E62" s="1"/>
      <c r="F62" s="1"/>
      <c r="G62" s="1"/>
      <c r="H62" s="1"/>
      <c r="I62" s="1"/>
      <c r="J62" s="1">
        <v>1</v>
      </c>
      <c r="L62" s="23"/>
    </row>
    <row r="63" spans="1:15">
      <c r="A63" s="1"/>
      <c r="B63" s="1"/>
      <c r="C63" s="1" t="s">
        <v>4</v>
      </c>
      <c r="D63" s="182">
        <f>SUBTOTAL(109,COURSELIST[Credits])</f>
        <v>141</v>
      </c>
      <c r="E63" s="1"/>
      <c r="F63" s="1" t="s">
        <v>36</v>
      </c>
      <c r="G63" s="1">
        <f>COUNTIFS(COURSELIST[Complete],"Y",COURSELIST[Complete],"y")</f>
        <v>26</v>
      </c>
      <c r="H63" s="1">
        <f>SUBTOTAL(109,COURSELIST[Grade Points])</f>
        <v>238.58</v>
      </c>
      <c r="I63" s="1"/>
      <c r="J63" s="1"/>
      <c r="L63" s="23"/>
    </row>
    <row r="64" spans="1:15" ht="42.75" customHeight="1">
      <c r="A64" s="154" t="s">
        <v>84</v>
      </c>
      <c r="B64" s="154"/>
      <c r="C64" s="154"/>
      <c r="D64" s="154"/>
      <c r="E64" s="154"/>
      <c r="F64" s="154"/>
      <c r="G64" s="154"/>
      <c r="H64" s="154"/>
      <c r="I64" s="154"/>
      <c r="J64" s="154"/>
      <c r="L64" s="23"/>
    </row>
    <row r="65" spans="1:12">
      <c r="A65" s="31"/>
      <c r="B65" s="36"/>
      <c r="C65" s="36"/>
      <c r="D65" s="36"/>
      <c r="E65" s="36"/>
      <c r="F65" s="31"/>
      <c r="G65" s="31"/>
      <c r="H65" s="31"/>
      <c r="I65" s="1"/>
      <c r="L65" s="23"/>
    </row>
    <row r="66" spans="1:12">
      <c r="A66" s="31"/>
      <c r="B66" s="36"/>
      <c r="C66" s="36"/>
      <c r="D66" s="36"/>
      <c r="E66" s="36"/>
      <c r="F66" s="32"/>
      <c r="G66" s="32"/>
      <c r="H66" s="32"/>
      <c r="I66" s="6"/>
      <c r="L66" s="23"/>
    </row>
    <row r="67" spans="1:12">
      <c r="A67" s="31" t="s">
        <v>21</v>
      </c>
      <c r="B67" s="31"/>
      <c r="C67" s="31"/>
      <c r="D67" s="31"/>
      <c r="E67" s="31"/>
      <c r="F67" s="33"/>
      <c r="G67" s="33"/>
      <c r="H67" s="33"/>
      <c r="I67" s="2"/>
      <c r="L67" s="23"/>
    </row>
    <row r="68" spans="1:12">
      <c r="A68" s="31"/>
      <c r="B68" s="31" t="s">
        <v>454</v>
      </c>
      <c r="C68" s="31" t="s">
        <v>455</v>
      </c>
      <c r="D68" s="31"/>
      <c r="E68" s="31"/>
      <c r="F68" s="33"/>
      <c r="G68" s="33"/>
      <c r="H68" s="33"/>
      <c r="I68" s="2"/>
    </row>
    <row r="69" spans="1:12" ht="19.5">
      <c r="A69" s="34"/>
      <c r="B69" s="31" t="s">
        <v>456</v>
      </c>
      <c r="C69" s="31" t="s">
        <v>455</v>
      </c>
      <c r="D69" s="31"/>
      <c r="E69" s="31"/>
      <c r="F69" s="32"/>
      <c r="G69" s="32"/>
      <c r="H69" s="32"/>
      <c r="I69" s="6"/>
    </row>
    <row r="70" spans="1:12" ht="18" customHeight="1">
      <c r="A70" s="97"/>
      <c r="B70" s="183" t="s">
        <v>457</v>
      </c>
      <c r="C70" s="183" t="s">
        <v>455</v>
      </c>
      <c r="D70" s="183" t="s">
        <v>458</v>
      </c>
      <c r="E70" s="31" t="s">
        <v>589</v>
      </c>
      <c r="F70" s="32"/>
      <c r="G70" s="32"/>
      <c r="H70" s="32"/>
      <c r="I70" s="6"/>
    </row>
    <row r="71" spans="1:12" ht="24">
      <c r="A71" s="35"/>
      <c r="B71" s="35" t="s">
        <v>453</v>
      </c>
      <c r="C71" s="35" t="s">
        <v>459</v>
      </c>
      <c r="D71" s="35"/>
      <c r="E71" s="31"/>
      <c r="F71" s="31"/>
      <c r="G71" s="31"/>
      <c r="H71" s="31"/>
      <c r="I71" s="1"/>
    </row>
    <row r="72" spans="1:12">
      <c r="A72" s="35"/>
      <c r="B72" s="35" t="s">
        <v>460</v>
      </c>
      <c r="C72" s="35" t="s">
        <v>461</v>
      </c>
      <c r="D72" s="35"/>
      <c r="E72" s="31"/>
      <c r="F72" s="31"/>
      <c r="G72" s="31"/>
      <c r="H72" s="31"/>
      <c r="I72" s="1"/>
    </row>
    <row r="73" spans="1:12" ht="24">
      <c r="A73" s="35"/>
      <c r="B73" s="31" t="s">
        <v>590</v>
      </c>
      <c r="C73" s="31" t="s">
        <v>455</v>
      </c>
      <c r="D73" s="35" t="s">
        <v>591</v>
      </c>
      <c r="E73" s="31"/>
      <c r="F73" s="31"/>
      <c r="G73" s="31"/>
      <c r="H73" s="31"/>
      <c r="I73" s="1"/>
    </row>
    <row r="74" spans="1:12" ht="18" customHeight="1">
      <c r="A74" s="152"/>
      <c r="B74" s="152"/>
      <c r="C74" s="152"/>
      <c r="D74" s="152"/>
      <c r="E74" s="31"/>
      <c r="F74" s="31"/>
      <c r="G74" s="31"/>
      <c r="H74" s="31"/>
      <c r="I74" s="1"/>
    </row>
    <row r="75" spans="1:12">
      <c r="A75" s="35"/>
      <c r="B75" s="35"/>
      <c r="C75" s="35"/>
      <c r="D75" s="35"/>
      <c r="E75" s="31"/>
      <c r="F75" s="31"/>
      <c r="G75" s="31"/>
      <c r="H75" s="31"/>
      <c r="I75" s="1"/>
    </row>
    <row r="76" spans="1:12">
      <c r="A76" s="35"/>
      <c r="B76" s="35"/>
      <c r="C76" s="35"/>
      <c r="D76" s="35"/>
      <c r="E76" s="31"/>
      <c r="F76" s="31"/>
      <c r="G76" s="31"/>
      <c r="H76" s="31"/>
      <c r="I76" s="1"/>
    </row>
    <row r="77" spans="1:12">
      <c r="A77" s="35"/>
      <c r="B77" s="35"/>
      <c r="C77" s="35"/>
      <c r="D77" s="35"/>
      <c r="E77" s="31"/>
      <c r="F77" s="31"/>
      <c r="G77" s="31"/>
      <c r="H77" s="31"/>
      <c r="I77" s="1"/>
    </row>
    <row r="78" spans="1:12" ht="18" customHeight="1">
      <c r="A78" s="152"/>
      <c r="B78" s="152"/>
      <c r="C78" s="152"/>
      <c r="D78" s="152"/>
      <c r="E78" s="31"/>
      <c r="F78" s="31"/>
      <c r="G78" s="31"/>
      <c r="H78" s="31"/>
      <c r="I78" s="1"/>
    </row>
    <row r="79" spans="1:12">
      <c r="A79" s="35"/>
      <c r="B79" s="35"/>
      <c r="C79" s="35"/>
      <c r="D79" s="35"/>
      <c r="E79" s="31"/>
      <c r="F79" s="31"/>
      <c r="G79" s="31"/>
      <c r="H79" s="31"/>
      <c r="I79" s="1"/>
    </row>
    <row r="80" spans="1:12">
      <c r="A80" s="35"/>
      <c r="B80" s="35"/>
      <c r="C80" s="35"/>
      <c r="D80" s="35"/>
      <c r="E80" s="31"/>
      <c r="F80" s="31"/>
      <c r="G80" s="31"/>
      <c r="H80" s="31"/>
      <c r="I80" s="1"/>
    </row>
    <row r="81" spans="1:9">
      <c r="A81" s="35"/>
      <c r="B81" s="35"/>
      <c r="C81" s="35"/>
      <c r="D81" s="35"/>
      <c r="E81" s="31"/>
      <c r="F81" s="31"/>
      <c r="G81" s="31"/>
      <c r="H81" s="31"/>
      <c r="I81" s="1"/>
    </row>
    <row r="82" spans="1:9">
      <c r="A82" s="35"/>
      <c r="B82" s="35"/>
      <c r="C82" s="35"/>
      <c r="D82" s="35"/>
      <c r="E82" s="31"/>
      <c r="F82" s="31"/>
      <c r="G82" s="31"/>
      <c r="H82" s="31"/>
      <c r="I82" s="1"/>
    </row>
    <row r="83" spans="1:9" ht="18" customHeight="1">
      <c r="A83" s="152"/>
      <c r="B83" s="152"/>
      <c r="C83" s="152"/>
      <c r="D83" s="152"/>
      <c r="E83" s="31"/>
      <c r="F83" s="31"/>
      <c r="G83" s="31"/>
      <c r="H83" s="31"/>
      <c r="I83" s="1"/>
    </row>
    <row r="84" spans="1:9">
      <c r="A84" s="35"/>
      <c r="B84" s="35"/>
      <c r="C84" s="35"/>
      <c r="D84" s="35"/>
      <c r="E84" s="31"/>
      <c r="F84" s="31"/>
      <c r="G84" s="31"/>
      <c r="H84" s="31"/>
      <c r="I84" s="1"/>
    </row>
    <row r="85" spans="1:9">
      <c r="A85" s="35"/>
      <c r="B85" s="35"/>
      <c r="C85" s="35"/>
      <c r="D85" s="35"/>
      <c r="E85" s="31"/>
      <c r="F85" s="31"/>
      <c r="G85" s="31"/>
      <c r="H85" s="31"/>
      <c r="I85" s="1"/>
    </row>
    <row r="86" spans="1:9">
      <c r="A86" s="35"/>
      <c r="B86" s="35"/>
      <c r="C86" s="35"/>
      <c r="D86" s="35"/>
      <c r="E86" s="31"/>
      <c r="F86" s="31"/>
      <c r="G86" s="31"/>
      <c r="H86" s="31"/>
      <c r="I86" s="1"/>
    </row>
    <row r="87" spans="1:9">
      <c r="A87" s="31"/>
      <c r="B87" s="31"/>
      <c r="C87" s="31"/>
      <c r="D87" s="31"/>
      <c r="E87" s="31"/>
      <c r="F87" s="31"/>
      <c r="G87" s="31"/>
      <c r="H87" s="31"/>
      <c r="I87" s="1"/>
    </row>
    <row r="88" spans="1:9">
      <c r="A88" s="1"/>
      <c r="B88" s="1"/>
      <c r="C88" s="1"/>
      <c r="D88" s="1"/>
      <c r="E88" s="1"/>
      <c r="F88" s="1"/>
      <c r="G88" s="1"/>
      <c r="H88" s="1"/>
      <c r="I88" s="1"/>
    </row>
    <row r="89" spans="1:9">
      <c r="A89" s="1"/>
      <c r="B89" s="1"/>
      <c r="C89" s="1"/>
      <c r="D89" s="1"/>
      <c r="E89" s="1"/>
      <c r="F89" s="1"/>
      <c r="G89" s="1"/>
      <c r="H89" s="1"/>
      <c r="I89" s="1"/>
    </row>
    <row r="90" spans="1:9">
      <c r="A90" s="1"/>
      <c r="B90" s="1"/>
      <c r="C90" s="1"/>
      <c r="D90" s="1"/>
      <c r="E90" s="1"/>
      <c r="F90" s="1"/>
      <c r="G90" s="1"/>
      <c r="H90" s="1"/>
      <c r="I90" s="1"/>
    </row>
    <row r="91" spans="1:9">
      <c r="A91" s="1"/>
      <c r="B91" s="1"/>
      <c r="C91" s="1"/>
      <c r="D91" s="1"/>
      <c r="E91" s="1"/>
      <c r="F91" s="1"/>
      <c r="G91" s="1"/>
      <c r="H91" s="1"/>
      <c r="I91" s="1"/>
    </row>
    <row r="92" spans="1:9">
      <c r="A92" s="1"/>
      <c r="B92" s="1"/>
      <c r="C92" s="1"/>
      <c r="D92" s="1"/>
      <c r="E92" s="1"/>
      <c r="F92" s="1"/>
      <c r="G92" s="1"/>
      <c r="H92" s="1"/>
      <c r="I92" s="1"/>
    </row>
    <row r="93" spans="1:9">
      <c r="A93" s="1"/>
      <c r="B93" s="1"/>
      <c r="C93" s="1"/>
      <c r="D93" s="1"/>
      <c r="E93" s="1"/>
      <c r="F93" s="1"/>
      <c r="G93" s="1"/>
      <c r="H93" s="1"/>
      <c r="I93" s="1"/>
    </row>
    <row r="94" spans="1:9">
      <c r="A94" s="1"/>
      <c r="B94" s="1"/>
      <c r="C94" s="1"/>
      <c r="D94" s="1"/>
      <c r="E94" s="1"/>
      <c r="F94" s="1"/>
      <c r="G94" s="1"/>
      <c r="H94" s="1"/>
      <c r="I94" s="1"/>
    </row>
    <row r="95" spans="1:9">
      <c r="A95" s="1"/>
      <c r="B95" s="1"/>
      <c r="C95" s="1"/>
      <c r="D95" s="1"/>
      <c r="E95" s="1"/>
      <c r="F95" s="1"/>
      <c r="G95" s="1"/>
      <c r="H95" s="1"/>
      <c r="I95" s="1"/>
    </row>
    <row r="96" spans="1:9">
      <c r="A96" s="1"/>
      <c r="B96" s="1"/>
      <c r="C96" s="1"/>
      <c r="D96" s="1"/>
      <c r="E96" s="1"/>
      <c r="F96" s="1"/>
      <c r="G96" s="1"/>
      <c r="H96" s="1"/>
      <c r="I96" s="1"/>
    </row>
    <row r="97" spans="1:9">
      <c r="A97" s="1"/>
      <c r="B97" s="1"/>
      <c r="C97" s="1"/>
      <c r="D97" s="1"/>
      <c r="E97" s="1"/>
      <c r="F97" s="1"/>
      <c r="G97" s="1"/>
      <c r="H97" s="1"/>
      <c r="I97" s="1"/>
    </row>
    <row r="98" spans="1:9">
      <c r="A98" s="1"/>
      <c r="B98" s="1"/>
      <c r="C98" s="1"/>
      <c r="D98" s="1"/>
      <c r="E98" s="1"/>
      <c r="F98" s="1"/>
      <c r="G98" s="1"/>
      <c r="H98" s="1"/>
      <c r="I98" s="1"/>
    </row>
    <row r="99" spans="1:9">
      <c r="A99" s="1"/>
      <c r="B99" s="1"/>
      <c r="C99" s="1"/>
      <c r="D99" s="1"/>
      <c r="E99" s="1"/>
      <c r="F99" s="1"/>
      <c r="G99" s="1"/>
      <c r="H99" s="1"/>
      <c r="I99" s="1"/>
    </row>
    <row r="100" spans="1:9">
      <c r="A100" s="1"/>
      <c r="B100" s="1"/>
      <c r="C100" s="1"/>
      <c r="D100" s="1"/>
      <c r="E100" s="1"/>
      <c r="F100" s="1"/>
      <c r="G100" s="1"/>
      <c r="H100" s="1"/>
      <c r="I100" s="1"/>
    </row>
    <row r="101" spans="1:9">
      <c r="A101" s="1"/>
      <c r="B101" s="1"/>
      <c r="C101" s="1"/>
      <c r="D101" s="1"/>
      <c r="E101" s="1"/>
      <c r="F101" s="1"/>
      <c r="G101" s="1"/>
      <c r="H101" s="1"/>
      <c r="I101" s="1"/>
    </row>
    <row r="102" spans="1:9">
      <c r="A102" s="1"/>
      <c r="B102" s="1"/>
      <c r="C102" s="1"/>
      <c r="D102" s="1"/>
      <c r="E102" s="1"/>
      <c r="F102" s="1"/>
      <c r="G102" s="1"/>
      <c r="H102" s="1"/>
      <c r="I102" s="1"/>
    </row>
    <row r="103" spans="1:9">
      <c r="A103" s="1"/>
      <c r="B103" s="1"/>
      <c r="C103" s="1"/>
      <c r="D103" s="1"/>
      <c r="E103" s="1"/>
      <c r="F103" s="1"/>
      <c r="G103" s="1"/>
      <c r="H103" s="1"/>
      <c r="I103" s="1"/>
    </row>
    <row r="104" spans="1:9">
      <c r="A104" s="1"/>
      <c r="B104" s="1"/>
      <c r="C104" s="1"/>
      <c r="D104" s="1"/>
      <c r="E104" s="1"/>
      <c r="F104" s="1"/>
      <c r="G104" s="1"/>
      <c r="H104" s="1"/>
      <c r="I104" s="1"/>
    </row>
    <row r="105" spans="1:9">
      <c r="A105" s="1"/>
      <c r="B105" s="1"/>
      <c r="C105" s="1"/>
      <c r="D105" s="1"/>
      <c r="E105" s="1"/>
      <c r="F105" s="1"/>
      <c r="G105" s="1"/>
      <c r="H105" s="1"/>
      <c r="I105" s="1"/>
    </row>
    <row r="106" spans="1:9">
      <c r="A106" s="1"/>
      <c r="B106" s="1"/>
      <c r="C106" s="1"/>
      <c r="D106" s="1"/>
      <c r="E106" s="1"/>
      <c r="F106" s="1"/>
      <c r="G106" s="1"/>
      <c r="H106" s="1"/>
      <c r="I106" s="1"/>
    </row>
    <row r="107" spans="1:9">
      <c r="A107" s="1"/>
      <c r="B107" s="1"/>
      <c r="C107" s="1"/>
      <c r="D107" s="1"/>
      <c r="E107" s="1"/>
      <c r="F107" s="1"/>
      <c r="G107" s="1"/>
      <c r="H107" s="1"/>
      <c r="I107" s="1"/>
    </row>
    <row r="108" spans="1:9">
      <c r="A108" s="1"/>
      <c r="B108" s="1"/>
      <c r="C108" s="1"/>
      <c r="D108" s="1"/>
      <c r="E108" s="1"/>
      <c r="F108" s="1"/>
      <c r="G108" s="1"/>
      <c r="H108" s="1"/>
      <c r="I108" s="1"/>
    </row>
    <row r="109" spans="1:9">
      <c r="A109" s="1"/>
      <c r="B109" s="1"/>
      <c r="C109" s="1"/>
      <c r="D109" s="1"/>
      <c r="E109" s="1"/>
      <c r="F109" s="1"/>
      <c r="G109" s="1"/>
      <c r="H109" s="1"/>
      <c r="I109" s="1"/>
    </row>
    <row r="110" spans="1:9">
      <c r="A110" s="1"/>
      <c r="B110" s="1"/>
      <c r="C110" s="1"/>
      <c r="D110" s="1"/>
      <c r="E110" s="1"/>
      <c r="F110" s="1"/>
      <c r="G110" s="1"/>
      <c r="H110" s="1"/>
      <c r="I110" s="1"/>
    </row>
    <row r="111" spans="1:9">
      <c r="A111" s="1"/>
      <c r="B111" s="1"/>
      <c r="C111" s="1"/>
      <c r="D111" s="1"/>
      <c r="E111" s="1"/>
      <c r="F111" s="1"/>
      <c r="G111" s="1"/>
      <c r="H111" s="1"/>
      <c r="I111" s="1"/>
    </row>
    <row r="112" spans="1:9">
      <c r="A112" s="1"/>
      <c r="B112" s="1"/>
      <c r="C112" s="1"/>
      <c r="D112" s="1"/>
      <c r="E112" s="1"/>
      <c r="F112" s="1"/>
      <c r="G112" s="1"/>
      <c r="H112" s="1"/>
      <c r="I112" s="1"/>
    </row>
    <row r="113" spans="1:9">
      <c r="A113" s="1"/>
      <c r="B113" s="1"/>
      <c r="C113" s="1"/>
      <c r="D113" s="1"/>
      <c r="E113" s="1"/>
      <c r="F113" s="1"/>
      <c r="G113" s="1"/>
      <c r="H113" s="1"/>
      <c r="I113" s="1"/>
    </row>
    <row r="114" spans="1:9">
      <c r="A114" s="1"/>
      <c r="B114" s="1"/>
      <c r="C114" s="1"/>
      <c r="D114" s="1"/>
      <c r="E114" s="1"/>
      <c r="F114" s="1"/>
      <c r="G114" s="1"/>
      <c r="H114" s="1"/>
      <c r="I114" s="1"/>
    </row>
    <row r="115" spans="1:9">
      <c r="A115" s="1"/>
      <c r="B115" s="1"/>
      <c r="C115" s="1"/>
      <c r="D115" s="1"/>
      <c r="E115" s="1"/>
      <c r="F115" s="1"/>
      <c r="G115" s="1"/>
      <c r="H115" s="1"/>
      <c r="I115" s="1"/>
    </row>
    <row r="116" spans="1:9">
      <c r="A116" s="1"/>
      <c r="B116" s="1"/>
      <c r="C116" s="1"/>
      <c r="D116" s="1"/>
      <c r="E116" s="1"/>
      <c r="F116" s="1"/>
      <c r="G116" s="1"/>
      <c r="H116" s="1"/>
      <c r="I116" s="1"/>
    </row>
    <row r="117" spans="1:9">
      <c r="A117" s="1"/>
      <c r="B117" s="1"/>
      <c r="C117" s="1"/>
      <c r="D117" s="1"/>
      <c r="E117" s="1"/>
      <c r="F117" s="1"/>
      <c r="G117" s="1"/>
      <c r="H117" s="1"/>
      <c r="I117" s="1"/>
    </row>
    <row r="118" spans="1:9">
      <c r="A118" s="1"/>
      <c r="B118" s="1"/>
      <c r="C118" s="1"/>
      <c r="D118" s="1"/>
      <c r="E118" s="1"/>
      <c r="F118" s="1"/>
      <c r="G118" s="1"/>
      <c r="H118" s="1"/>
      <c r="I118" s="1"/>
    </row>
    <row r="119" spans="1:9">
      <c r="A119" s="1"/>
      <c r="B119" s="1"/>
      <c r="C119" s="1"/>
      <c r="D119" s="1"/>
      <c r="E119" s="1"/>
      <c r="F119" s="1"/>
      <c r="G119" s="1"/>
      <c r="H119" s="1"/>
      <c r="I119" s="1"/>
    </row>
    <row r="120" spans="1:9">
      <c r="A120" s="1"/>
      <c r="B120" s="1"/>
      <c r="C120" s="1"/>
      <c r="D120" s="1"/>
      <c r="E120" s="1"/>
      <c r="F120" s="1"/>
      <c r="G120" s="1"/>
      <c r="H120" s="1"/>
      <c r="I120" s="1"/>
    </row>
    <row r="121" spans="1:9">
      <c r="A121" s="1"/>
      <c r="B121" s="1"/>
      <c r="C121" s="1"/>
      <c r="D121" s="1"/>
      <c r="E121" s="1"/>
      <c r="F121" s="1"/>
      <c r="G121" s="1"/>
      <c r="H121" s="1"/>
      <c r="I121" s="1"/>
    </row>
    <row r="122" spans="1:9">
      <c r="A122" s="1"/>
      <c r="B122" s="1"/>
      <c r="C122" s="1"/>
      <c r="D122" s="1"/>
      <c r="E122" s="1"/>
      <c r="F122" s="1"/>
      <c r="G122" s="1"/>
      <c r="H122" s="1"/>
      <c r="I122" s="1"/>
    </row>
    <row r="123" spans="1:9">
      <c r="A123" s="1"/>
      <c r="B123" s="1"/>
      <c r="C123" s="1"/>
      <c r="D123" s="1"/>
      <c r="E123" s="1"/>
      <c r="F123" s="1"/>
      <c r="G123" s="1"/>
      <c r="H123" s="1"/>
      <c r="I123" s="1"/>
    </row>
    <row r="124" spans="1:9">
      <c r="A124" s="1"/>
      <c r="B124" s="1"/>
      <c r="C124" s="1"/>
      <c r="D124" s="1"/>
      <c r="E124" s="1"/>
      <c r="F124" s="1"/>
      <c r="G124" s="1"/>
      <c r="H124" s="1"/>
      <c r="I124" s="1"/>
    </row>
    <row r="125" spans="1:9">
      <c r="A125" s="1"/>
      <c r="B125" s="1"/>
      <c r="C125" s="1"/>
      <c r="D125" s="1"/>
      <c r="E125" s="1"/>
      <c r="F125" s="1"/>
      <c r="G125" s="1"/>
      <c r="H125" s="1"/>
      <c r="I125" s="1"/>
    </row>
    <row r="126" spans="1:9">
      <c r="A126" s="1"/>
      <c r="B126" s="1"/>
      <c r="C126" s="1"/>
      <c r="D126" s="1"/>
      <c r="E126" s="1"/>
      <c r="F126" s="1"/>
      <c r="G126" s="1"/>
      <c r="H126" s="1"/>
      <c r="I126" s="1"/>
    </row>
    <row r="127" spans="1:9">
      <c r="A127" s="1"/>
      <c r="B127" s="1"/>
      <c r="C127" s="1"/>
      <c r="D127" s="1"/>
      <c r="E127" s="1"/>
      <c r="F127" s="1"/>
      <c r="G127" s="1"/>
      <c r="H127" s="1"/>
      <c r="I127" s="1"/>
    </row>
    <row r="128" spans="1:9">
      <c r="A128" s="1"/>
      <c r="B128" s="1"/>
      <c r="C128" s="1"/>
      <c r="D128" s="1"/>
      <c r="E128" s="1"/>
      <c r="F128" s="1"/>
      <c r="G128" s="1"/>
      <c r="H128" s="1"/>
      <c r="I128" s="1"/>
    </row>
    <row r="129" spans="1:9">
      <c r="A129" s="1"/>
      <c r="B129" s="1"/>
      <c r="C129" s="1"/>
      <c r="D129" s="1"/>
      <c r="E129" s="1"/>
      <c r="F129" s="1"/>
      <c r="G129" s="1"/>
      <c r="H129" s="1"/>
      <c r="I129" s="1"/>
    </row>
    <row r="130" spans="1:9">
      <c r="A130" s="1"/>
      <c r="B130" s="1"/>
      <c r="C130" s="1"/>
      <c r="D130" s="1"/>
      <c r="E130" s="1"/>
      <c r="F130" s="1"/>
      <c r="G130" s="1"/>
      <c r="H130" s="1"/>
      <c r="I130" s="1"/>
    </row>
    <row r="131" spans="1:9">
      <c r="A131" s="1"/>
      <c r="B131" s="1"/>
      <c r="C131" s="1"/>
      <c r="D131" s="1"/>
      <c r="E131" s="1"/>
      <c r="F131" s="1"/>
      <c r="G131" s="1"/>
      <c r="H131" s="1"/>
      <c r="I131" s="1"/>
    </row>
    <row r="132" spans="1:9">
      <c r="A132" s="1"/>
      <c r="B132" s="1"/>
      <c r="C132" s="1"/>
      <c r="D132" s="1"/>
      <c r="E132" s="1"/>
      <c r="F132" s="1"/>
      <c r="G132" s="1"/>
      <c r="H132" s="1"/>
      <c r="I132" s="1"/>
    </row>
    <row r="133" spans="1:9">
      <c r="A133" s="1"/>
      <c r="B133" s="1"/>
      <c r="C133" s="1"/>
      <c r="D133" s="1"/>
      <c r="E133" s="1"/>
      <c r="F133" s="1"/>
      <c r="G133" s="1"/>
      <c r="H133" s="1"/>
      <c r="I133" s="1"/>
    </row>
    <row r="134" spans="1:9">
      <c r="A134" s="1"/>
      <c r="B134" s="1"/>
      <c r="C134" s="1"/>
      <c r="D134" s="1"/>
      <c r="E134" s="1"/>
      <c r="F134" s="1"/>
      <c r="G134" s="1"/>
      <c r="H134" s="1"/>
      <c r="I134" s="1"/>
    </row>
    <row r="135" spans="1:9">
      <c r="A135" s="1"/>
      <c r="B135" s="1"/>
      <c r="C135" s="1"/>
      <c r="D135" s="1"/>
      <c r="E135" s="1"/>
      <c r="F135" s="1"/>
      <c r="G135" s="1"/>
      <c r="H135" s="1"/>
      <c r="I135" s="1"/>
    </row>
    <row r="136" spans="1:9">
      <c r="A136" s="1"/>
      <c r="B136" s="1"/>
      <c r="C136" s="1"/>
      <c r="D136" s="1"/>
      <c r="E136" s="1"/>
      <c r="F136" s="1"/>
      <c r="G136" s="1"/>
      <c r="H136" s="1"/>
      <c r="I136" s="1"/>
    </row>
    <row r="137" spans="1:9">
      <c r="A137" s="1"/>
      <c r="B137" s="1"/>
      <c r="C137" s="1"/>
      <c r="D137" s="1"/>
      <c r="E137" s="1"/>
      <c r="F137" s="1"/>
      <c r="G137" s="1"/>
      <c r="H137" s="1"/>
      <c r="I137" s="1"/>
    </row>
    <row r="138" spans="1:9">
      <c r="A138" s="1"/>
      <c r="B138" s="1"/>
      <c r="C138" s="1"/>
      <c r="D138" s="1"/>
      <c r="E138" s="1"/>
      <c r="F138" s="1"/>
      <c r="G138" s="1"/>
      <c r="H138" s="1"/>
      <c r="I138" s="1"/>
    </row>
    <row r="139" spans="1:9">
      <c r="A139" s="1"/>
      <c r="B139" s="1"/>
      <c r="C139" s="1"/>
      <c r="D139" s="1"/>
      <c r="E139" s="1"/>
      <c r="F139" s="1"/>
      <c r="G139" s="1"/>
      <c r="H139" s="1"/>
      <c r="I139" s="1"/>
    </row>
    <row r="140" spans="1:9">
      <c r="A140" s="1"/>
      <c r="B140" s="1"/>
      <c r="C140" s="1"/>
      <c r="D140" s="1"/>
      <c r="E140" s="1"/>
      <c r="F140" s="1"/>
      <c r="G140" s="1"/>
      <c r="H140" s="1"/>
      <c r="I140" s="1"/>
    </row>
    <row r="141" spans="1:9">
      <c r="A141" s="1"/>
      <c r="B141" s="1"/>
      <c r="C141" s="1"/>
      <c r="D141" s="1"/>
      <c r="E141" s="1"/>
      <c r="F141" s="1"/>
      <c r="G141" s="1"/>
      <c r="H141" s="1"/>
      <c r="I141" s="1"/>
    </row>
    <row r="142" spans="1:9">
      <c r="A142" s="1"/>
      <c r="B142" s="1"/>
      <c r="C142" s="1"/>
      <c r="D142" s="1"/>
      <c r="E142" s="1"/>
      <c r="F142" s="1"/>
      <c r="G142" s="1"/>
      <c r="H142" s="1"/>
      <c r="I142" s="1"/>
    </row>
    <row r="143" spans="1:9">
      <c r="A143" s="1"/>
      <c r="B143" s="1"/>
      <c r="C143" s="1"/>
      <c r="D143" s="1"/>
      <c r="E143" s="1"/>
      <c r="F143" s="1"/>
      <c r="G143" s="1"/>
      <c r="H143" s="1"/>
      <c r="I143" s="1"/>
    </row>
    <row r="144" spans="1:9">
      <c r="A144" s="1"/>
      <c r="B144" s="1"/>
      <c r="C144" s="1"/>
      <c r="D144" s="1"/>
      <c r="E144" s="1"/>
      <c r="F144" s="1"/>
      <c r="G144" s="1"/>
      <c r="H144" s="1"/>
      <c r="I144" s="1"/>
    </row>
    <row r="145" spans="1:9">
      <c r="A145" s="1"/>
      <c r="B145" s="1"/>
      <c r="C145" s="1"/>
      <c r="D145" s="1"/>
      <c r="E145" s="1"/>
      <c r="F145" s="1"/>
      <c r="G145" s="1"/>
      <c r="H145" s="1"/>
      <c r="I145" s="1"/>
    </row>
    <row r="146" spans="1:9">
      <c r="A146" s="1"/>
      <c r="B146" s="1"/>
      <c r="C146" s="1"/>
      <c r="D146" s="1"/>
      <c r="E146" s="1"/>
      <c r="F146" s="1"/>
      <c r="G146" s="1"/>
      <c r="H146" s="1"/>
      <c r="I146" s="1"/>
    </row>
    <row r="147" spans="1:9">
      <c r="A147" s="1"/>
      <c r="B147" s="1"/>
      <c r="C147" s="1"/>
      <c r="D147" s="1"/>
      <c r="E147" s="1"/>
      <c r="F147" s="1"/>
      <c r="G147" s="1"/>
      <c r="H147" s="1"/>
      <c r="I147" s="1"/>
    </row>
    <row r="148" spans="1:9">
      <c r="A148" s="1"/>
      <c r="B148" s="1"/>
      <c r="C148" s="1"/>
      <c r="D148" s="1"/>
      <c r="E148" s="1"/>
      <c r="F148" s="1"/>
      <c r="G148" s="1"/>
      <c r="H148" s="1"/>
      <c r="I148" s="1"/>
    </row>
    <row r="149" spans="1:9">
      <c r="A149" s="1"/>
      <c r="B149" s="1"/>
      <c r="C149" s="1"/>
      <c r="D149" s="1"/>
      <c r="E149" s="1"/>
      <c r="F149" s="1"/>
      <c r="G149" s="1"/>
      <c r="H149" s="1"/>
      <c r="I149" s="1"/>
    </row>
    <row r="150" spans="1:9">
      <c r="A150" s="1"/>
      <c r="B150" s="1"/>
      <c r="C150" s="1"/>
      <c r="D150" s="1"/>
      <c r="E150" s="1"/>
      <c r="F150" s="1"/>
      <c r="G150" s="1"/>
      <c r="H150" s="1"/>
      <c r="I150" s="1"/>
    </row>
    <row r="151" spans="1:9">
      <c r="A151" s="1"/>
      <c r="B151" s="1"/>
      <c r="C151" s="1"/>
      <c r="D151" s="1"/>
      <c r="E151" s="1"/>
      <c r="F151" s="1"/>
      <c r="G151" s="1"/>
      <c r="H151" s="1"/>
      <c r="I151" s="1"/>
    </row>
    <row r="152" spans="1:9">
      <c r="A152" s="1"/>
      <c r="B152" s="1"/>
      <c r="C152" s="1"/>
      <c r="D152" s="1"/>
      <c r="E152" s="1"/>
      <c r="F152" s="1"/>
      <c r="G152" s="1"/>
      <c r="H152" s="1"/>
      <c r="I152" s="1"/>
    </row>
    <row r="153" spans="1:9">
      <c r="A153" s="1"/>
      <c r="B153" s="1"/>
      <c r="C153" s="1"/>
      <c r="D153" s="1"/>
      <c r="E153" s="1"/>
      <c r="F153" s="1"/>
      <c r="G153" s="1"/>
      <c r="H153" s="1"/>
      <c r="I153" s="1"/>
    </row>
    <row r="154" spans="1:9">
      <c r="A154" s="1"/>
      <c r="B154" s="1"/>
      <c r="C154" s="1"/>
      <c r="D154" s="1"/>
      <c r="E154" s="1"/>
      <c r="F154" s="1"/>
      <c r="G154" s="1"/>
      <c r="H154" s="1"/>
      <c r="I154" s="1"/>
    </row>
    <row r="155" spans="1:9">
      <c r="A155" s="1"/>
      <c r="B155" s="1"/>
      <c r="C155" s="1"/>
      <c r="D155" s="1"/>
      <c r="E155" s="1"/>
      <c r="F155" s="1"/>
      <c r="G155" s="1"/>
      <c r="H155" s="1"/>
      <c r="I155" s="1"/>
    </row>
    <row r="156" spans="1:9">
      <c r="A156" s="1"/>
      <c r="B156" s="1"/>
      <c r="C156" s="1"/>
      <c r="D156" s="1"/>
      <c r="E156" s="1"/>
      <c r="F156" s="1"/>
      <c r="G156" s="1"/>
      <c r="H156" s="1"/>
      <c r="I156" s="1"/>
    </row>
    <row r="157" spans="1:9">
      <c r="A157" s="1"/>
      <c r="B157" s="1"/>
      <c r="C157" s="1"/>
      <c r="D157" s="1"/>
      <c r="E157" s="1"/>
      <c r="F157" s="1"/>
      <c r="G157" s="1"/>
      <c r="H157" s="1"/>
      <c r="I157" s="1"/>
    </row>
    <row r="158" spans="1:9">
      <c r="A158" s="1"/>
      <c r="B158" s="1"/>
      <c r="C158" s="1"/>
      <c r="D158" s="1"/>
      <c r="E158" s="1"/>
      <c r="F158" s="1"/>
      <c r="G158" s="1"/>
      <c r="H158" s="1"/>
      <c r="I158" s="1"/>
    </row>
    <row r="159" spans="1:9">
      <c r="A159" s="1"/>
      <c r="B159" s="1"/>
      <c r="C159" s="1"/>
      <c r="D159" s="1"/>
      <c r="E159" s="1"/>
      <c r="F159" s="1"/>
      <c r="G159" s="1"/>
      <c r="H159" s="1"/>
      <c r="I159" s="1"/>
    </row>
    <row r="160" spans="1:9">
      <c r="A160" s="1"/>
      <c r="B160" s="1"/>
      <c r="C160" s="1"/>
      <c r="D160" s="1"/>
      <c r="E160" s="1"/>
      <c r="F160" s="1"/>
      <c r="G160" s="1"/>
      <c r="H160" s="1"/>
      <c r="I160" s="1"/>
    </row>
    <row r="161" spans="1:9">
      <c r="A161" s="1"/>
      <c r="B161" s="1"/>
      <c r="C161" s="1"/>
      <c r="D161" s="1"/>
      <c r="E161" s="1"/>
      <c r="F161" s="1"/>
      <c r="G161" s="1"/>
      <c r="H161" s="1"/>
      <c r="I161" s="1"/>
    </row>
    <row r="162" spans="1:9">
      <c r="A162" s="1"/>
      <c r="B162" s="1"/>
      <c r="C162" s="1"/>
      <c r="D162" s="1"/>
      <c r="E162" s="1"/>
      <c r="F162" s="1"/>
      <c r="G162" s="1"/>
      <c r="H162" s="1"/>
      <c r="I162" s="1"/>
    </row>
    <row r="163" spans="1:9">
      <c r="A163" s="1"/>
      <c r="B163" s="1"/>
      <c r="C163" s="1"/>
      <c r="D163" s="1"/>
      <c r="E163" s="1"/>
      <c r="F163" s="1"/>
      <c r="G163" s="1"/>
      <c r="H163" s="1"/>
      <c r="I163" s="1"/>
    </row>
    <row r="164" spans="1:9">
      <c r="A164" s="1"/>
      <c r="B164" s="1"/>
      <c r="C164" s="1"/>
      <c r="D164" s="1"/>
      <c r="E164" s="1"/>
      <c r="F164" s="1"/>
      <c r="G164" s="1"/>
      <c r="H164" s="1"/>
      <c r="I164" s="1"/>
    </row>
    <row r="165" spans="1:9">
      <c r="A165" s="1"/>
      <c r="B165" s="1"/>
      <c r="C165" s="1"/>
      <c r="D165" s="1"/>
      <c r="E165" s="1"/>
      <c r="F165" s="1"/>
      <c r="G165" s="1"/>
      <c r="H165" s="1"/>
      <c r="I165" s="1"/>
    </row>
    <row r="166" spans="1:9">
      <c r="A166" s="1"/>
      <c r="B166" s="1"/>
      <c r="C166" s="1"/>
      <c r="D166" s="1"/>
      <c r="E166" s="1"/>
      <c r="F166" s="1"/>
      <c r="G166" s="1"/>
      <c r="H166" s="1"/>
      <c r="I166" s="1"/>
    </row>
    <row r="167" spans="1:9">
      <c r="A167" s="1"/>
      <c r="B167" s="1"/>
      <c r="C167" s="1"/>
      <c r="D167" s="1"/>
      <c r="E167" s="1"/>
      <c r="F167" s="1"/>
      <c r="G167" s="1"/>
      <c r="H167" s="1"/>
      <c r="I167" s="1"/>
    </row>
    <row r="168" spans="1:9">
      <c r="A168" s="1"/>
      <c r="B168" s="1"/>
      <c r="C168" s="1"/>
      <c r="D168" s="1"/>
      <c r="E168" s="1"/>
      <c r="F168" s="1"/>
      <c r="G168" s="1"/>
      <c r="H168" s="1"/>
      <c r="I168" s="1"/>
    </row>
    <row r="169" spans="1:9">
      <c r="A169" s="1"/>
      <c r="B169" s="1"/>
      <c r="C169" s="1"/>
      <c r="D169" s="1"/>
      <c r="E169" s="1"/>
      <c r="F169" s="1"/>
      <c r="G169" s="1"/>
      <c r="H169" s="1"/>
      <c r="I169" s="1"/>
    </row>
    <row r="170" spans="1:9">
      <c r="A170" s="1"/>
      <c r="B170" s="1"/>
      <c r="C170" s="1"/>
      <c r="D170" s="1"/>
      <c r="E170" s="1"/>
      <c r="F170" s="1"/>
      <c r="G170" s="1"/>
      <c r="H170" s="1"/>
      <c r="I170" s="1"/>
    </row>
    <row r="171" spans="1:9">
      <c r="A171" s="1"/>
      <c r="B171" s="1"/>
      <c r="C171" s="1"/>
      <c r="D171" s="1"/>
      <c r="E171" s="1"/>
      <c r="F171" s="1"/>
      <c r="G171" s="1"/>
      <c r="H171" s="1"/>
      <c r="I171" s="1"/>
    </row>
    <row r="172" spans="1:9">
      <c r="A172" s="1"/>
      <c r="B172" s="1"/>
      <c r="C172" s="1"/>
      <c r="D172" s="1"/>
      <c r="E172" s="1"/>
      <c r="F172" s="1"/>
      <c r="G172" s="1"/>
      <c r="H172" s="1"/>
      <c r="I172" s="1"/>
    </row>
    <row r="173" spans="1:9">
      <c r="A173" s="1"/>
      <c r="B173" s="1"/>
      <c r="C173" s="1"/>
      <c r="D173" s="1"/>
      <c r="E173" s="1"/>
      <c r="F173" s="1"/>
      <c r="G173" s="1"/>
      <c r="H173" s="1"/>
      <c r="I173" s="1"/>
    </row>
    <row r="174" spans="1:9">
      <c r="A174" s="1"/>
      <c r="B174" s="1"/>
      <c r="C174" s="1"/>
      <c r="D174" s="1"/>
      <c r="E174" s="1"/>
      <c r="F174" s="1"/>
      <c r="G174" s="1"/>
      <c r="H174" s="1"/>
      <c r="I174" s="1"/>
    </row>
    <row r="175" spans="1:9">
      <c r="A175" s="1"/>
      <c r="B175" s="1"/>
      <c r="C175" s="1"/>
      <c r="D175" s="1"/>
      <c r="E175" s="1"/>
      <c r="F175" s="1"/>
      <c r="G175" s="1"/>
      <c r="H175" s="1"/>
      <c r="I175" s="1"/>
    </row>
    <row r="176" spans="1:9">
      <c r="A176" s="1"/>
      <c r="B176" s="1"/>
      <c r="C176" s="1"/>
      <c r="D176" s="1"/>
      <c r="E176" s="1"/>
      <c r="F176" s="1"/>
      <c r="G176" s="1"/>
      <c r="H176" s="1"/>
      <c r="I176" s="1"/>
    </row>
    <row r="177" spans="1:9">
      <c r="A177" s="1"/>
      <c r="B177" s="1"/>
      <c r="C177" s="1"/>
      <c r="D177" s="1"/>
      <c r="E177" s="1"/>
      <c r="F177" s="1"/>
      <c r="G177" s="1"/>
      <c r="H177" s="1"/>
      <c r="I177" s="1"/>
    </row>
    <row r="178" spans="1:9">
      <c r="A178" s="1"/>
      <c r="B178" s="1"/>
      <c r="C178" s="1"/>
      <c r="D178" s="1"/>
      <c r="E178" s="1"/>
      <c r="F178" s="1"/>
      <c r="G178" s="1"/>
      <c r="H178" s="1"/>
      <c r="I178" s="1"/>
    </row>
    <row r="179" spans="1:9">
      <c r="A179" s="1"/>
      <c r="B179" s="1"/>
      <c r="C179" s="1"/>
      <c r="D179" s="1"/>
      <c r="E179" s="1"/>
      <c r="F179" s="1"/>
      <c r="G179" s="1"/>
      <c r="H179" s="1"/>
      <c r="I179" s="1"/>
    </row>
    <row r="180" spans="1:9">
      <c r="A180" s="1"/>
      <c r="B180" s="1"/>
      <c r="C180" s="1"/>
      <c r="D180" s="1"/>
      <c r="E180" s="1"/>
      <c r="F180" s="1"/>
      <c r="G180" s="1"/>
      <c r="H180" s="1"/>
      <c r="I180" s="1"/>
    </row>
    <row r="181" spans="1:9">
      <c r="A181" s="1"/>
      <c r="B181" s="1"/>
      <c r="C181" s="1"/>
      <c r="D181" s="1"/>
      <c r="E181" s="1"/>
      <c r="F181" s="1"/>
      <c r="G181" s="1"/>
      <c r="H181" s="1"/>
      <c r="I181" s="1"/>
    </row>
    <row r="182" spans="1:9">
      <c r="A182" s="1"/>
      <c r="B182" s="1"/>
      <c r="C182" s="1"/>
      <c r="D182" s="1"/>
      <c r="E182" s="1"/>
      <c r="F182" s="1"/>
      <c r="G182" s="1"/>
      <c r="H182" s="1"/>
      <c r="I182" s="1"/>
    </row>
    <row r="183" spans="1:9">
      <c r="A183" s="1"/>
      <c r="B183" s="1"/>
      <c r="C183" s="1"/>
      <c r="D183" s="1"/>
      <c r="E183" s="1"/>
      <c r="F183" s="1"/>
      <c r="G183" s="1"/>
      <c r="H183" s="1"/>
      <c r="I183" s="1"/>
    </row>
    <row r="184" spans="1:9">
      <c r="A184" s="1"/>
      <c r="B184" s="1"/>
      <c r="C184" s="1"/>
      <c r="D184" s="1"/>
      <c r="E184" s="1"/>
      <c r="F184" s="1"/>
      <c r="G184" s="1"/>
      <c r="H184" s="1"/>
      <c r="I184" s="1"/>
    </row>
    <row r="185" spans="1:9">
      <c r="A185" s="1"/>
      <c r="B185" s="1"/>
      <c r="C185" s="1"/>
      <c r="D185" s="1"/>
      <c r="E185" s="1"/>
      <c r="F185" s="1"/>
      <c r="G185" s="1"/>
      <c r="H185" s="1"/>
      <c r="I185" s="1"/>
    </row>
    <row r="186" spans="1:9">
      <c r="A186" s="1"/>
      <c r="B186" s="1"/>
      <c r="C186" s="1"/>
      <c r="D186" s="1"/>
      <c r="E186" s="1"/>
      <c r="F186" s="1"/>
      <c r="G186" s="1"/>
      <c r="H186" s="1"/>
      <c r="I186" s="1"/>
    </row>
    <row r="187" spans="1:9">
      <c r="A187" s="1"/>
      <c r="B187" s="1"/>
      <c r="C187" s="1"/>
      <c r="D187" s="1"/>
      <c r="E187" s="1"/>
      <c r="F187" s="1"/>
      <c r="G187" s="1"/>
      <c r="H187" s="1"/>
      <c r="I187" s="1"/>
    </row>
    <row r="188" spans="1:9">
      <c r="A188" s="1"/>
      <c r="B188" s="1"/>
      <c r="C188" s="1"/>
      <c r="D188" s="1"/>
      <c r="E188" s="1"/>
      <c r="F188" s="1"/>
      <c r="G188" s="1"/>
      <c r="H188" s="1"/>
      <c r="I188" s="1"/>
    </row>
    <row r="189" spans="1:9">
      <c r="A189" s="1"/>
      <c r="B189" s="1"/>
      <c r="C189" s="1"/>
      <c r="D189" s="1"/>
      <c r="E189" s="1"/>
      <c r="F189" s="1"/>
      <c r="G189" s="1"/>
      <c r="H189" s="1"/>
      <c r="I189" s="1"/>
    </row>
    <row r="190" spans="1:9">
      <c r="A190" s="1"/>
      <c r="B190" s="1"/>
      <c r="C190" s="1"/>
      <c r="D190" s="1"/>
      <c r="E190" s="1"/>
      <c r="F190" s="1"/>
      <c r="G190" s="1"/>
      <c r="H190" s="1"/>
      <c r="I190" s="1"/>
    </row>
    <row r="191" spans="1:9">
      <c r="A191" s="1"/>
      <c r="B191" s="1"/>
      <c r="C191" s="1"/>
      <c r="D191" s="1"/>
      <c r="E191" s="1"/>
      <c r="F191" s="1"/>
      <c r="G191" s="1"/>
      <c r="H191" s="1"/>
      <c r="I191" s="1"/>
    </row>
    <row r="192" spans="1:9">
      <c r="A192" s="1"/>
      <c r="B192" s="1"/>
      <c r="C192" s="1"/>
      <c r="D192" s="1"/>
      <c r="E192" s="1"/>
      <c r="F192" s="1"/>
      <c r="G192" s="1"/>
      <c r="H192" s="1"/>
      <c r="I192" s="1"/>
    </row>
    <row r="193" spans="1:9">
      <c r="A193" s="1"/>
      <c r="B193" s="1"/>
      <c r="C193" s="1"/>
      <c r="D193" s="1"/>
      <c r="E193" s="1"/>
      <c r="F193" s="1"/>
      <c r="G193" s="1"/>
      <c r="H193" s="1"/>
      <c r="I193" s="1"/>
    </row>
    <row r="194" spans="1:9">
      <c r="A194" s="1"/>
      <c r="B194" s="1"/>
      <c r="C194" s="1"/>
      <c r="D194" s="1"/>
      <c r="E194" s="1"/>
      <c r="F194" s="1"/>
      <c r="G194" s="1"/>
      <c r="H194" s="1"/>
      <c r="I194" s="1"/>
    </row>
    <row r="195" spans="1:9">
      <c r="A195" s="1"/>
      <c r="B195" s="1"/>
      <c r="C195" s="1"/>
      <c r="D195" s="1"/>
      <c r="E195" s="1"/>
      <c r="F195" s="1"/>
      <c r="G195" s="1"/>
      <c r="H195" s="1"/>
      <c r="I195" s="1"/>
    </row>
    <row r="196" spans="1:9">
      <c r="A196" s="1"/>
      <c r="B196" s="1"/>
      <c r="C196" s="1"/>
      <c r="D196" s="1"/>
      <c r="E196" s="1"/>
      <c r="F196" s="1"/>
      <c r="G196" s="1"/>
      <c r="H196" s="1"/>
      <c r="I196" s="1"/>
    </row>
    <row r="197" spans="1:9">
      <c r="A197" s="1"/>
      <c r="B197" s="1"/>
      <c r="C197" s="1"/>
      <c r="D197" s="1"/>
      <c r="E197" s="1"/>
      <c r="F197" s="1"/>
      <c r="G197" s="1"/>
      <c r="H197" s="1"/>
      <c r="I197" s="1"/>
    </row>
    <row r="198" spans="1:9">
      <c r="A198" s="1"/>
      <c r="B198" s="1"/>
      <c r="C198" s="1"/>
      <c r="D198" s="1"/>
      <c r="E198" s="1"/>
      <c r="F198" s="1"/>
      <c r="G198" s="1"/>
      <c r="H198" s="1"/>
      <c r="I198" s="1"/>
    </row>
    <row r="199" spans="1:9">
      <c r="A199" s="1"/>
      <c r="B199" s="1"/>
      <c r="C199" s="1"/>
      <c r="D199" s="1"/>
      <c r="E199" s="1"/>
      <c r="F199" s="1"/>
      <c r="G199" s="1"/>
      <c r="H199" s="1"/>
      <c r="I199" s="1"/>
    </row>
    <row r="200" spans="1:9">
      <c r="A200" s="1"/>
      <c r="B200" s="1"/>
      <c r="C200" s="1"/>
      <c r="D200" s="1"/>
      <c r="E200" s="1"/>
      <c r="F200" s="1"/>
      <c r="G200" s="1"/>
      <c r="H200" s="1"/>
      <c r="I200" s="1"/>
    </row>
    <row r="201" spans="1:9">
      <c r="A201" s="1"/>
      <c r="B201" s="1"/>
      <c r="C201" s="1"/>
      <c r="D201" s="1"/>
      <c r="E201" s="1"/>
      <c r="F201" s="1"/>
      <c r="G201" s="1"/>
      <c r="H201" s="1"/>
      <c r="I201" s="1"/>
    </row>
    <row r="202" spans="1:9">
      <c r="A202" s="1"/>
      <c r="B202" s="1"/>
      <c r="C202" s="1"/>
      <c r="D202" s="1"/>
      <c r="E202" s="1"/>
      <c r="F202" s="1"/>
      <c r="G202" s="1"/>
      <c r="H202" s="1"/>
      <c r="I202" s="1"/>
    </row>
    <row r="203" spans="1:9">
      <c r="A203" s="1"/>
      <c r="B203" s="1"/>
      <c r="C203" s="1"/>
      <c r="D203" s="1"/>
      <c r="E203" s="1"/>
      <c r="F203" s="1"/>
      <c r="G203" s="1"/>
      <c r="H203" s="1"/>
      <c r="I203" s="1"/>
    </row>
    <row r="204" spans="1:9">
      <c r="A204" s="1"/>
      <c r="B204" s="1"/>
      <c r="C204" s="1"/>
      <c r="D204" s="1"/>
      <c r="E204" s="1"/>
      <c r="F204" s="1"/>
      <c r="G204" s="1"/>
      <c r="H204" s="1"/>
      <c r="I204" s="1"/>
    </row>
    <row r="205" spans="1:9">
      <c r="A205" s="1"/>
      <c r="B205" s="1"/>
      <c r="C205" s="1"/>
      <c r="D205" s="1"/>
      <c r="E205" s="1"/>
      <c r="F205" s="1"/>
      <c r="G205" s="1"/>
      <c r="H205" s="1"/>
      <c r="I205" s="1"/>
    </row>
    <row r="206" spans="1:9">
      <c r="A206" s="1"/>
      <c r="B206" s="1"/>
      <c r="C206" s="1"/>
      <c r="D206" s="1"/>
      <c r="E206" s="1"/>
      <c r="F206" s="1"/>
      <c r="G206" s="1"/>
      <c r="H206" s="1"/>
      <c r="I206" s="1"/>
    </row>
    <row r="207" spans="1:9">
      <c r="A207" s="1"/>
      <c r="B207" s="1"/>
      <c r="C207" s="1"/>
      <c r="D207" s="1"/>
      <c r="E207" s="1"/>
      <c r="F207" s="1"/>
      <c r="G207" s="1"/>
      <c r="H207" s="1"/>
      <c r="I207" s="1"/>
    </row>
    <row r="208" spans="1:9">
      <c r="A208" s="1"/>
      <c r="B208" s="1"/>
      <c r="C208" s="1"/>
      <c r="D208" s="1"/>
      <c r="E208" s="1"/>
      <c r="F208" s="1"/>
      <c r="G208" s="1"/>
      <c r="H208" s="1"/>
      <c r="I208" s="1"/>
    </row>
    <row r="209" spans="1:9">
      <c r="A209" s="1"/>
      <c r="B209" s="1"/>
      <c r="C209" s="1"/>
      <c r="D209" s="1"/>
      <c r="E209" s="1"/>
      <c r="F209" s="1"/>
      <c r="G209" s="1"/>
      <c r="H209" s="1"/>
      <c r="I209" s="1"/>
    </row>
    <row r="210" spans="1:9">
      <c r="A210" s="1"/>
      <c r="B210" s="1"/>
      <c r="C210" s="1"/>
      <c r="D210" s="1"/>
      <c r="E210" s="1"/>
      <c r="F210" s="1"/>
      <c r="G210" s="1"/>
      <c r="H210" s="1"/>
      <c r="I210" s="1"/>
    </row>
    <row r="211" spans="1:9">
      <c r="A211" s="1"/>
      <c r="B211" s="1"/>
      <c r="C211" s="1"/>
      <c r="D211" s="1"/>
      <c r="E211" s="1"/>
      <c r="F211" s="1"/>
      <c r="G211" s="1"/>
      <c r="H211" s="1"/>
      <c r="I211" s="1"/>
    </row>
    <row r="212" spans="1:9">
      <c r="A212" s="1"/>
      <c r="B212" s="1"/>
      <c r="C212" s="1"/>
      <c r="D212" s="1"/>
      <c r="E212" s="1"/>
      <c r="F212" s="1"/>
      <c r="G212" s="1"/>
      <c r="H212" s="1"/>
      <c r="I212" s="1"/>
    </row>
    <row r="213" spans="1:9">
      <c r="A213" s="1"/>
      <c r="B213" s="1"/>
      <c r="C213" s="1"/>
      <c r="D213" s="1"/>
      <c r="E213" s="1"/>
      <c r="F213" s="1"/>
      <c r="G213" s="1"/>
      <c r="H213" s="1"/>
      <c r="I213" s="1"/>
    </row>
    <row r="214" spans="1:9">
      <c r="A214" s="1"/>
      <c r="B214" s="1"/>
      <c r="C214" s="1"/>
      <c r="D214" s="1"/>
      <c r="E214" s="1"/>
      <c r="F214" s="1"/>
      <c r="G214" s="1"/>
      <c r="H214" s="1"/>
      <c r="I214" s="1"/>
    </row>
    <row r="215" spans="1:9">
      <c r="A215" s="1"/>
      <c r="B215" s="1"/>
      <c r="C215" s="1"/>
      <c r="D215" s="1"/>
      <c r="E215" s="1"/>
      <c r="F215" s="1"/>
      <c r="G215" s="1"/>
      <c r="H215" s="1"/>
      <c r="I215" s="1"/>
    </row>
    <row r="216" spans="1:9">
      <c r="A216" s="1"/>
      <c r="B216" s="1"/>
      <c r="C216" s="1"/>
      <c r="D216" s="1"/>
      <c r="E216" s="1"/>
      <c r="F216" s="1"/>
      <c r="G216" s="1"/>
      <c r="H216" s="1"/>
      <c r="I216" s="1"/>
    </row>
    <row r="217" spans="1:9">
      <c r="A217" s="1"/>
      <c r="B217" s="1"/>
      <c r="C217" s="1"/>
      <c r="D217" s="1"/>
      <c r="E217" s="1"/>
      <c r="F217" s="1"/>
      <c r="G217" s="1"/>
      <c r="H217" s="1"/>
      <c r="I217" s="1"/>
    </row>
    <row r="218" spans="1:9">
      <c r="A218" s="1"/>
      <c r="B218" s="1"/>
      <c r="C218" s="1"/>
      <c r="D218" s="1"/>
      <c r="E218" s="1"/>
      <c r="F218" s="1"/>
      <c r="G218" s="1"/>
      <c r="H218" s="1"/>
      <c r="I218" s="1"/>
    </row>
    <row r="219" spans="1:9">
      <c r="A219" s="1"/>
      <c r="B219" s="1"/>
      <c r="C219" s="1"/>
      <c r="D219" s="1"/>
      <c r="E219" s="1"/>
      <c r="F219" s="1"/>
      <c r="G219" s="1"/>
      <c r="H219" s="1"/>
      <c r="I219" s="1"/>
    </row>
    <row r="220" spans="1:9">
      <c r="A220" s="1"/>
      <c r="B220" s="1"/>
      <c r="C220" s="1"/>
      <c r="D220" s="1"/>
      <c r="E220" s="1"/>
      <c r="F220" s="1"/>
      <c r="G220" s="1"/>
      <c r="H220" s="1"/>
      <c r="I220" s="1"/>
    </row>
    <row r="221" spans="1:9">
      <c r="A221" s="1"/>
      <c r="B221" s="1"/>
      <c r="C221" s="1"/>
      <c r="D221" s="1"/>
      <c r="E221" s="1"/>
      <c r="F221" s="1"/>
      <c r="G221" s="1"/>
      <c r="H221" s="1"/>
      <c r="I221" s="1"/>
    </row>
    <row r="222" spans="1:9">
      <c r="A222" s="1"/>
      <c r="B222" s="1"/>
      <c r="C222" s="1"/>
      <c r="D222" s="1"/>
      <c r="E222" s="1"/>
      <c r="F222" s="1"/>
      <c r="G222" s="1"/>
      <c r="H222" s="1"/>
      <c r="I222" s="1"/>
    </row>
    <row r="223" spans="1:9">
      <c r="A223" s="1"/>
      <c r="B223" s="1"/>
      <c r="C223" s="1"/>
      <c r="D223" s="1"/>
      <c r="E223" s="1"/>
      <c r="F223" s="1"/>
      <c r="G223" s="1"/>
      <c r="H223" s="1"/>
      <c r="I223" s="1"/>
    </row>
    <row r="224" spans="1:9">
      <c r="A224" s="1"/>
      <c r="B224" s="1"/>
      <c r="C224" s="1"/>
      <c r="D224" s="1"/>
      <c r="E224" s="1"/>
      <c r="F224" s="1"/>
      <c r="G224" s="1"/>
      <c r="H224" s="1"/>
      <c r="I224" s="1"/>
    </row>
    <row r="225" spans="1:9">
      <c r="A225" s="1"/>
      <c r="B225" s="1"/>
      <c r="C225" s="1"/>
      <c r="D225" s="1"/>
      <c r="E225" s="1"/>
      <c r="F225" s="1"/>
      <c r="G225" s="1"/>
      <c r="H225" s="1"/>
      <c r="I225" s="1"/>
    </row>
    <row r="226" spans="1:9">
      <c r="A226" s="1"/>
      <c r="B226" s="1"/>
      <c r="C226" s="1"/>
      <c r="D226" s="1"/>
      <c r="E226" s="1"/>
      <c r="F226" s="1"/>
      <c r="G226" s="1"/>
      <c r="H226" s="1"/>
      <c r="I226" s="1"/>
    </row>
    <row r="227" spans="1:9">
      <c r="A227" s="1"/>
      <c r="B227" s="1"/>
      <c r="C227" s="1"/>
      <c r="D227" s="1"/>
      <c r="E227" s="1"/>
      <c r="F227" s="1"/>
      <c r="G227" s="1"/>
      <c r="H227" s="1"/>
      <c r="I227" s="1"/>
    </row>
    <row r="228" spans="1:9">
      <c r="A228" s="1"/>
      <c r="B228" s="1"/>
      <c r="C228" s="1"/>
      <c r="D228" s="1"/>
      <c r="E228" s="1"/>
      <c r="F228" s="1"/>
      <c r="G228" s="1"/>
      <c r="H228" s="1"/>
      <c r="I228" s="1"/>
    </row>
    <row r="229" spans="1:9">
      <c r="A229" s="1"/>
      <c r="B229" s="1"/>
      <c r="C229" s="1"/>
      <c r="D229" s="1"/>
      <c r="E229" s="1"/>
      <c r="F229" s="1"/>
      <c r="G229" s="1"/>
      <c r="H229" s="1"/>
      <c r="I229" s="1"/>
    </row>
    <row r="230" spans="1:9">
      <c r="A230" s="1"/>
      <c r="B230" s="1"/>
      <c r="C230" s="1"/>
      <c r="D230" s="1"/>
      <c r="E230" s="1"/>
      <c r="F230" s="1"/>
      <c r="G230" s="1"/>
      <c r="H230" s="1"/>
      <c r="I230" s="1"/>
    </row>
    <row r="231" spans="1:9">
      <c r="A231" s="1"/>
      <c r="B231" s="1"/>
      <c r="C231" s="1"/>
      <c r="D231" s="1"/>
      <c r="E231" s="1"/>
      <c r="F231" s="1"/>
      <c r="G231" s="1"/>
      <c r="H231" s="1"/>
      <c r="I231" s="1"/>
    </row>
    <row r="232" spans="1:9">
      <c r="A232" s="1"/>
      <c r="B232" s="1"/>
      <c r="C232" s="1"/>
      <c r="D232" s="1"/>
      <c r="E232" s="1"/>
      <c r="F232" s="1"/>
      <c r="G232" s="1"/>
      <c r="H232" s="1"/>
      <c r="I232" s="1"/>
    </row>
    <row r="233" spans="1:9">
      <c r="A233" s="1"/>
      <c r="B233" s="1"/>
      <c r="C233" s="1"/>
      <c r="D233" s="1"/>
      <c r="E233" s="1"/>
      <c r="F233" s="1"/>
      <c r="G233" s="1"/>
      <c r="H233" s="1"/>
      <c r="I233" s="1"/>
    </row>
    <row r="234" spans="1:9">
      <c r="A234" s="1"/>
      <c r="B234" s="1"/>
      <c r="C234" s="1"/>
      <c r="D234" s="1"/>
      <c r="E234" s="1"/>
      <c r="F234" s="1"/>
      <c r="G234" s="1"/>
      <c r="H234" s="1"/>
      <c r="I234" s="1"/>
    </row>
    <row r="235" spans="1:9">
      <c r="A235" s="1"/>
      <c r="B235" s="1"/>
      <c r="C235" s="1"/>
      <c r="D235" s="1"/>
      <c r="E235" s="1"/>
      <c r="F235" s="1"/>
      <c r="G235" s="1"/>
      <c r="H235" s="1"/>
      <c r="I235" s="1"/>
    </row>
    <row r="236" spans="1:9">
      <c r="A236" s="1"/>
      <c r="B236" s="1"/>
      <c r="C236" s="1"/>
      <c r="D236" s="1"/>
      <c r="E236" s="1"/>
      <c r="F236" s="1"/>
      <c r="G236" s="1"/>
      <c r="H236" s="1"/>
      <c r="I236" s="1"/>
    </row>
    <row r="237" spans="1:9">
      <c r="A237" s="1"/>
      <c r="B237" s="1"/>
      <c r="C237" s="1"/>
      <c r="D237" s="1"/>
      <c r="E237" s="1"/>
      <c r="F237" s="1"/>
      <c r="G237" s="1"/>
      <c r="H237" s="1"/>
      <c r="I237" s="1"/>
    </row>
    <row r="238" spans="1:9">
      <c r="A238" s="1"/>
      <c r="B238" s="1"/>
      <c r="C238" s="1"/>
      <c r="D238" s="1"/>
      <c r="E238" s="1"/>
      <c r="F238" s="1"/>
      <c r="G238" s="1"/>
      <c r="H238" s="1"/>
      <c r="I238" s="1"/>
    </row>
    <row r="239" spans="1:9">
      <c r="A239" s="1"/>
      <c r="B239" s="1"/>
      <c r="C239" s="1"/>
      <c r="D239" s="1"/>
      <c r="E239" s="1"/>
      <c r="F239" s="1"/>
      <c r="G239" s="1"/>
      <c r="H239" s="1"/>
      <c r="I239" s="1"/>
    </row>
    <row r="240" spans="1:9">
      <c r="A240" s="1"/>
      <c r="B240" s="1"/>
      <c r="C240" s="1"/>
      <c r="D240" s="1"/>
      <c r="E240" s="1"/>
      <c r="F240" s="1"/>
      <c r="G240" s="1"/>
      <c r="H240" s="1"/>
      <c r="I240" s="1"/>
    </row>
    <row r="241" spans="1:9">
      <c r="A241" s="1"/>
      <c r="B241" s="1"/>
      <c r="C241" s="1"/>
      <c r="D241" s="1"/>
      <c r="E241" s="1"/>
      <c r="F241" s="1"/>
      <c r="G241" s="1"/>
      <c r="H241" s="1"/>
      <c r="I241" s="1"/>
    </row>
    <row r="242" spans="1:9">
      <c r="A242" s="1"/>
      <c r="B242" s="1"/>
      <c r="C242" s="1"/>
      <c r="D242" s="1"/>
      <c r="E242" s="1"/>
      <c r="F242" s="1"/>
      <c r="G242" s="1"/>
      <c r="H242" s="1"/>
      <c r="I242" s="1"/>
    </row>
    <row r="243" spans="1:9">
      <c r="A243" s="1"/>
      <c r="B243" s="1"/>
      <c r="C243" s="1"/>
      <c r="D243" s="1"/>
      <c r="E243" s="1"/>
      <c r="F243" s="1"/>
      <c r="G243" s="1"/>
      <c r="H243" s="1"/>
      <c r="I243" s="1"/>
    </row>
    <row r="244" spans="1:9">
      <c r="A244" s="1"/>
      <c r="B244" s="1"/>
      <c r="C244" s="1"/>
      <c r="D244" s="1"/>
      <c r="E244" s="1"/>
      <c r="F244" s="1"/>
      <c r="G244" s="1"/>
      <c r="H244" s="1"/>
      <c r="I244" s="1"/>
    </row>
    <row r="245" spans="1:9">
      <c r="A245" s="1"/>
      <c r="B245" s="1"/>
      <c r="C245" s="1"/>
      <c r="D245" s="1"/>
      <c r="E245" s="1"/>
      <c r="F245" s="1"/>
      <c r="G245" s="1"/>
      <c r="H245" s="1"/>
      <c r="I245" s="1"/>
    </row>
    <row r="246" spans="1:9">
      <c r="A246" s="1"/>
      <c r="B246" s="1"/>
      <c r="C246" s="1"/>
      <c r="D246" s="1"/>
      <c r="E246" s="1"/>
      <c r="F246" s="1"/>
      <c r="G246" s="1"/>
      <c r="H246" s="1"/>
      <c r="I246" s="1"/>
    </row>
    <row r="247" spans="1:9">
      <c r="A247" s="1"/>
      <c r="B247" s="1"/>
      <c r="C247" s="1"/>
      <c r="D247" s="1"/>
      <c r="E247" s="1"/>
      <c r="F247" s="1"/>
      <c r="G247" s="1"/>
      <c r="H247" s="1"/>
      <c r="I247" s="1"/>
    </row>
    <row r="248" spans="1:9">
      <c r="A248" s="1"/>
      <c r="B248" s="1"/>
      <c r="C248" s="1"/>
      <c r="D248" s="1"/>
      <c r="E248" s="1"/>
      <c r="F248" s="1"/>
      <c r="G248" s="1"/>
      <c r="H248" s="1"/>
      <c r="I248" s="1"/>
    </row>
    <row r="249" spans="1:9">
      <c r="A249" s="1"/>
      <c r="B249" s="1"/>
      <c r="C249" s="1"/>
      <c r="D249" s="1"/>
      <c r="E249" s="1"/>
      <c r="F249" s="1"/>
      <c r="G249" s="1"/>
      <c r="H249" s="1"/>
      <c r="I249" s="1"/>
    </row>
    <row r="250" spans="1:9">
      <c r="A250" s="1"/>
      <c r="B250" s="1"/>
      <c r="C250" s="1"/>
      <c r="D250" s="1"/>
      <c r="E250" s="1"/>
      <c r="F250" s="1"/>
      <c r="G250" s="1"/>
      <c r="H250" s="1"/>
      <c r="I250" s="1"/>
    </row>
    <row r="251" spans="1:9">
      <c r="A251" s="1"/>
      <c r="B251" s="1"/>
      <c r="C251" s="1"/>
      <c r="D251" s="1"/>
      <c r="E251" s="1"/>
      <c r="F251" s="1"/>
      <c r="G251" s="1"/>
      <c r="H251" s="1"/>
      <c r="I251" s="1"/>
    </row>
    <row r="252" spans="1:9">
      <c r="A252" s="1"/>
      <c r="B252" s="1"/>
      <c r="C252" s="1"/>
      <c r="D252" s="1"/>
      <c r="E252" s="1"/>
      <c r="F252" s="1"/>
      <c r="G252" s="1"/>
      <c r="H252" s="1"/>
      <c r="I252" s="1"/>
    </row>
    <row r="253" spans="1:9">
      <c r="A253" s="1"/>
      <c r="B253" s="1"/>
      <c r="C253" s="1"/>
      <c r="D253" s="1"/>
      <c r="E253" s="1"/>
      <c r="F253" s="1"/>
      <c r="G253" s="1"/>
      <c r="H253" s="1"/>
      <c r="I253" s="1"/>
    </row>
    <row r="254" spans="1:9">
      <c r="A254" s="1"/>
      <c r="B254" s="1"/>
      <c r="C254" s="1"/>
      <c r="D254" s="1"/>
      <c r="E254" s="1"/>
      <c r="F254" s="1"/>
      <c r="G254" s="1"/>
      <c r="H254" s="1"/>
      <c r="I254" s="1"/>
    </row>
    <row r="255" spans="1:9">
      <c r="A255" s="1"/>
      <c r="B255" s="1"/>
      <c r="C255" s="1"/>
      <c r="D255" s="1"/>
      <c r="E255" s="1"/>
      <c r="F255" s="1"/>
      <c r="G255" s="1"/>
      <c r="H255" s="1"/>
      <c r="I255" s="1"/>
    </row>
    <row r="256" spans="1:9">
      <c r="A256" s="1"/>
      <c r="B256" s="1"/>
      <c r="C256" s="1"/>
      <c r="D256" s="1"/>
      <c r="E256" s="1"/>
      <c r="F256" s="1"/>
      <c r="G256" s="1"/>
      <c r="H256" s="1"/>
      <c r="I256" s="1"/>
    </row>
    <row r="257" spans="1:9">
      <c r="A257" s="1"/>
      <c r="B257" s="1"/>
      <c r="C257" s="1"/>
      <c r="D257" s="1"/>
      <c r="E257" s="1"/>
      <c r="F257" s="1"/>
      <c r="G257" s="1"/>
      <c r="H257" s="1"/>
      <c r="I257" s="1"/>
    </row>
    <row r="258" spans="1:9">
      <c r="A258" s="1"/>
      <c r="B258" s="1"/>
      <c r="C258" s="1"/>
      <c r="D258" s="1"/>
      <c r="E258" s="1"/>
      <c r="F258" s="1"/>
      <c r="G258" s="1"/>
      <c r="H258" s="1"/>
      <c r="I258" s="1"/>
    </row>
    <row r="259" spans="1:9">
      <c r="A259" s="1"/>
      <c r="B259" s="1"/>
      <c r="C259" s="1"/>
      <c r="D259" s="1"/>
      <c r="E259" s="1"/>
      <c r="F259" s="1"/>
      <c r="G259" s="1"/>
      <c r="H259" s="1"/>
      <c r="I259" s="1"/>
    </row>
    <row r="260" spans="1:9">
      <c r="A260" s="1"/>
      <c r="B260" s="1"/>
      <c r="C260" s="1"/>
      <c r="D260" s="1"/>
      <c r="E260" s="1"/>
      <c r="F260" s="1"/>
      <c r="G260" s="1"/>
      <c r="H260" s="1"/>
      <c r="I260" s="1"/>
    </row>
    <row r="261" spans="1:9">
      <c r="A261" s="1"/>
      <c r="B261" s="1"/>
      <c r="C261" s="1"/>
      <c r="D261" s="1"/>
      <c r="E261" s="1"/>
      <c r="F261" s="1"/>
      <c r="G261" s="1"/>
      <c r="H261" s="1"/>
      <c r="I261" s="1"/>
    </row>
    <row r="262" spans="1:9">
      <c r="A262" s="1"/>
      <c r="B262" s="1"/>
      <c r="C262" s="1"/>
      <c r="D262" s="1"/>
      <c r="E262" s="1"/>
      <c r="F262" s="1"/>
      <c r="G262" s="1"/>
      <c r="H262" s="1"/>
      <c r="I262" s="1"/>
    </row>
    <row r="263" spans="1:9">
      <c r="A263" s="1"/>
      <c r="B263" s="1"/>
      <c r="C263" s="1"/>
      <c r="D263" s="1"/>
      <c r="E263" s="1"/>
      <c r="F263" s="1"/>
      <c r="G263" s="1"/>
      <c r="H263" s="1"/>
      <c r="I263" s="1"/>
    </row>
    <row r="264" spans="1:9">
      <c r="A264" s="1"/>
      <c r="B264" s="1"/>
      <c r="C264" s="1"/>
      <c r="D264" s="1"/>
      <c r="E264" s="1"/>
      <c r="F264" s="1"/>
      <c r="G264" s="1"/>
      <c r="H264" s="1"/>
      <c r="I264" s="1"/>
    </row>
    <row r="265" spans="1:9">
      <c r="A265" s="1"/>
      <c r="B265" s="1"/>
      <c r="C265" s="1"/>
      <c r="D265" s="1"/>
      <c r="E265" s="1"/>
      <c r="F265" s="1"/>
      <c r="G265" s="1"/>
      <c r="H265" s="1"/>
      <c r="I265" s="1"/>
    </row>
    <row r="266" spans="1:9">
      <c r="A266" s="1"/>
      <c r="B266" s="1"/>
      <c r="C266" s="1"/>
      <c r="D266" s="1"/>
      <c r="E266" s="1"/>
      <c r="F266" s="1"/>
      <c r="G266" s="1"/>
      <c r="H266" s="1"/>
      <c r="I266" s="1"/>
    </row>
    <row r="267" spans="1:9">
      <c r="A267" s="1"/>
      <c r="B267" s="1"/>
      <c r="C267" s="1"/>
      <c r="D267" s="1"/>
      <c r="E267" s="1"/>
      <c r="F267" s="1"/>
      <c r="G267" s="1"/>
      <c r="H267" s="1"/>
      <c r="I267" s="1"/>
    </row>
    <row r="268" spans="1:9">
      <c r="A268" s="1"/>
      <c r="B268" s="1"/>
      <c r="C268" s="1"/>
      <c r="D268" s="1"/>
      <c r="E268" s="1"/>
      <c r="F268" s="1"/>
      <c r="G268" s="1"/>
      <c r="H268" s="1"/>
      <c r="I268" s="1"/>
    </row>
    <row r="269" spans="1:9">
      <c r="A269" s="1"/>
      <c r="B269" s="1"/>
      <c r="C269" s="1"/>
      <c r="D269" s="1"/>
      <c r="E269" s="1"/>
      <c r="F269" s="1"/>
      <c r="G269" s="1"/>
      <c r="H269" s="1"/>
      <c r="I269" s="1"/>
    </row>
    <row r="270" spans="1:9">
      <c r="A270" s="1"/>
      <c r="B270" s="1"/>
      <c r="C270" s="1"/>
      <c r="D270" s="1"/>
      <c r="E270" s="1"/>
      <c r="F270" s="1"/>
      <c r="G270" s="1"/>
      <c r="H270" s="1"/>
      <c r="I270" s="1"/>
    </row>
  </sheetData>
  <sheetProtection sheet="1" objects="1" scenarios="1" formatCells="0" formatColumns="0" formatRows="0" insertColumns="0" insertRows="0" sort="0" autoFilter="0" pivotTables="0"/>
  <mergeCells count="12">
    <mergeCell ref="L2:Q2"/>
    <mergeCell ref="L7:R8"/>
    <mergeCell ref="O20:Q20"/>
    <mergeCell ref="O19:Q19"/>
    <mergeCell ref="L18:R18"/>
    <mergeCell ref="A74:D74"/>
    <mergeCell ref="A78:D78"/>
    <mergeCell ref="A83:D83"/>
    <mergeCell ref="M3:N3"/>
    <mergeCell ref="M4:N4"/>
    <mergeCell ref="A64:J64"/>
    <mergeCell ref="L26:R26"/>
  </mergeCells>
  <conditionalFormatting sqref="F57:I63 F53:I55">
    <cfRule type="cellIs" dxfId="643" priority="332" operator="equal">
      <formula>"N"</formula>
    </cfRule>
    <cfRule type="cellIs" dxfId="642" priority="333" operator="equal">
      <formula>"Y"</formula>
    </cfRule>
  </conditionalFormatting>
  <conditionalFormatting sqref="F1:I1">
    <cfRule type="cellIs" dxfId="641" priority="330" operator="equal">
      <formula>"N"</formula>
    </cfRule>
    <cfRule type="cellIs" dxfId="640" priority="331" operator="equal">
      <formula>"Y"</formula>
    </cfRule>
  </conditionalFormatting>
  <conditionalFormatting sqref="F57:I62 F53:I55">
    <cfRule type="cellIs" dxfId="639" priority="328" operator="equal">
      <formula>"y"</formula>
    </cfRule>
    <cfRule type="cellIs" dxfId="638" priority="329" operator="equal">
      <formula>"n"</formula>
    </cfRule>
  </conditionalFormatting>
  <conditionalFormatting sqref="C53:C55 C57:C62">
    <cfRule type="cellIs" dxfId="637" priority="326" operator="equal">
      <formula>"IT"</formula>
    </cfRule>
    <cfRule type="cellIs" dxfId="636" priority="327" operator="equal">
      <formula>"CompSci"</formula>
    </cfRule>
  </conditionalFormatting>
  <conditionalFormatting sqref="C53:C55 C57:C62">
    <cfRule type="cellIs" dxfId="635" priority="305" operator="equal">
      <formula>"both"</formula>
    </cfRule>
    <cfRule type="cellIs" dxfId="634" priority="306" operator="equal">
      <formula>"CompSci"</formula>
    </cfRule>
    <cfRule type="cellIs" dxfId="633" priority="307" operator="equal">
      <formula>"IT"</formula>
    </cfRule>
  </conditionalFormatting>
  <conditionalFormatting sqref="A57:I62 A53:I55">
    <cfRule type="expression" dxfId="632" priority="334">
      <formula>$G53="y"</formula>
    </cfRule>
    <cfRule type="expression" dxfId="631" priority="335">
      <formula>$E53="Spring 2016"</formula>
    </cfRule>
    <cfRule type="expression" dxfId="630" priority="336">
      <formula>$E53="Spring 2015"</formula>
    </cfRule>
    <cfRule type="expression" dxfId="629" priority="337">
      <formula>$E53="Fall 2016"</formula>
    </cfRule>
    <cfRule type="expression" dxfId="628" priority="338">
      <formula>$E53="Spring 2014"</formula>
    </cfRule>
    <cfRule type="expression" dxfId="627" priority="339">
      <formula>$E53="Fall 2015"</formula>
    </cfRule>
    <cfRule type="expression" dxfId="626" priority="340">
      <formula>$E53="Fall 2014"</formula>
    </cfRule>
    <cfRule type="expression" dxfId="625" priority="341">
      <formula>$E53="Fall 2013"</formula>
    </cfRule>
  </conditionalFormatting>
  <conditionalFormatting sqref="G56:H56">
    <cfRule type="cellIs" dxfId="624" priority="244" operator="equal">
      <formula>"N"</formula>
    </cfRule>
    <cfRule type="cellIs" dxfId="623" priority="245" operator="equal">
      <formula>"Y"</formula>
    </cfRule>
  </conditionalFormatting>
  <conditionalFormatting sqref="G56:H56">
    <cfRule type="cellIs" dxfId="622" priority="242" operator="equal">
      <formula>"y"</formula>
    </cfRule>
    <cfRule type="cellIs" dxfId="621" priority="243" operator="equal">
      <formula>"n"</formula>
    </cfRule>
  </conditionalFormatting>
  <conditionalFormatting sqref="I56 F56">
    <cfRule type="cellIs" dxfId="620" priority="240" operator="equal">
      <formula>"N"</formula>
    </cfRule>
    <cfRule type="cellIs" dxfId="619" priority="241" operator="equal">
      <formula>"Y"</formula>
    </cfRule>
  </conditionalFormatting>
  <conditionalFormatting sqref="C56">
    <cfRule type="cellIs" dxfId="618" priority="237" operator="equal">
      <formula>"both"</formula>
    </cfRule>
    <cfRule type="cellIs" dxfId="617" priority="238" operator="equal">
      <formula>"CompSci"</formula>
    </cfRule>
    <cfRule type="cellIs" dxfId="616" priority="239" operator="equal">
      <formula>"IT"</formula>
    </cfRule>
  </conditionalFormatting>
  <conditionalFormatting sqref="F56:I56 A56:D56">
    <cfRule type="expression" dxfId="615" priority="246">
      <formula>$G56="y"</formula>
    </cfRule>
    <cfRule type="expression" dxfId="614" priority="247">
      <formula>$E56="Spring 2016"</formula>
    </cfRule>
    <cfRule type="expression" dxfId="613" priority="248">
      <formula>$E56="Spring 2015"</formula>
    </cfRule>
    <cfRule type="expression" dxfId="612" priority="249">
      <formula>$E56="Fall 2016"</formula>
    </cfRule>
    <cfRule type="expression" dxfId="611" priority="250">
      <formula>$E56="Spring 2014"</formula>
    </cfRule>
    <cfRule type="expression" dxfId="610" priority="251">
      <formula>$E56="Fall 2015"</formula>
    </cfRule>
    <cfRule type="expression" dxfId="609" priority="252">
      <formula>$E56="Fall 2014"</formula>
    </cfRule>
    <cfRule type="expression" dxfId="608" priority="253">
      <formula>$E56="Fall 2013"</formula>
    </cfRule>
  </conditionalFormatting>
  <conditionalFormatting sqref="J8">
    <cfRule type="expression" dxfId="607" priority="229">
      <formula>#REF!="y"</formula>
    </cfRule>
    <cfRule type="expression" dxfId="606" priority="230">
      <formula>#REF!="Spring 2016"</formula>
    </cfRule>
    <cfRule type="expression" dxfId="605" priority="231">
      <formula>#REF!="Spring 2015"</formula>
    </cfRule>
    <cfRule type="expression" dxfId="604" priority="232">
      <formula>#REF!="Fall 2016"</formula>
    </cfRule>
    <cfRule type="expression" dxfId="603" priority="233">
      <formula>#REF!="Spring 2014"</formula>
    </cfRule>
    <cfRule type="expression" dxfId="602" priority="234">
      <formula>#REF!="Fall 2015"</formula>
    </cfRule>
    <cfRule type="expression" dxfId="601" priority="235">
      <formula>#REF!="Fall 2014"</formula>
    </cfRule>
    <cfRule type="expression" dxfId="600" priority="236">
      <formula>#REF!="Fall 2013"</formula>
    </cfRule>
  </conditionalFormatting>
  <conditionalFormatting sqref="J11">
    <cfRule type="expression" dxfId="599" priority="221">
      <formula>$G11="y"</formula>
    </cfRule>
    <cfRule type="expression" dxfId="598" priority="222">
      <formula>$E11="Spring 2016"</formula>
    </cfRule>
    <cfRule type="expression" dxfId="597" priority="223">
      <formula>$E11="Spring 2015"</formula>
    </cfRule>
    <cfRule type="expression" dxfId="596" priority="224">
      <formula>$E11="Fall 2016"</formula>
    </cfRule>
    <cfRule type="expression" dxfId="595" priority="225">
      <formula>$E11="Spring 2014"</formula>
    </cfRule>
    <cfRule type="expression" dxfId="594" priority="226">
      <formula>$E11="Fall 2015"</formula>
    </cfRule>
    <cfRule type="expression" dxfId="593" priority="227">
      <formula>$E11="Fall 2014"</formula>
    </cfRule>
    <cfRule type="expression" dxfId="592" priority="228">
      <formula>$E11="Fall 2013"</formula>
    </cfRule>
  </conditionalFormatting>
  <conditionalFormatting sqref="J24">
    <cfRule type="expression" dxfId="591" priority="211">
      <formula>#REF!="y"</formula>
    </cfRule>
    <cfRule type="expression" dxfId="590" priority="212">
      <formula>#REF!="Spring 2016"</formula>
    </cfRule>
    <cfRule type="expression" dxfId="589" priority="213">
      <formula>#REF!="Spring 2015"</formula>
    </cfRule>
    <cfRule type="expression" dxfId="588" priority="214">
      <formula>#REF!="Fall 2016"</formula>
    </cfRule>
    <cfRule type="expression" dxfId="587" priority="215">
      <formula>#REF!="Spring 2014"</formula>
    </cfRule>
    <cfRule type="expression" dxfId="586" priority="216">
      <formula>#REF!="Fall 2015"</formula>
    </cfRule>
    <cfRule type="expression" dxfId="585" priority="217">
      <formula>#REF!="Fall 2014"</formula>
    </cfRule>
    <cfRule type="expression" dxfId="584" priority="218">
      <formula>#REF!="Fall 2013"</formula>
    </cfRule>
  </conditionalFormatting>
  <conditionalFormatting sqref="J27">
    <cfRule type="expression" dxfId="583" priority="203">
      <formula>$G27="y"</formula>
    </cfRule>
    <cfRule type="expression" dxfId="582" priority="204">
      <formula>$E27="Spring 2016"</formula>
    </cfRule>
    <cfRule type="expression" dxfId="581" priority="205">
      <formula>$E27="Spring 2015"</formula>
    </cfRule>
    <cfRule type="expression" dxfId="580" priority="206">
      <formula>$E27="Fall 2016"</formula>
    </cfRule>
    <cfRule type="expression" dxfId="579" priority="207">
      <formula>$E27="Spring 2014"</formula>
    </cfRule>
    <cfRule type="expression" dxfId="578" priority="208">
      <formula>$E27="Fall 2015"</formula>
    </cfRule>
    <cfRule type="expression" dxfId="577" priority="209">
      <formula>$E27="Fall 2014"</formula>
    </cfRule>
    <cfRule type="expression" dxfId="576" priority="210">
      <formula>$E27="Fall 2013"</formula>
    </cfRule>
  </conditionalFormatting>
  <conditionalFormatting sqref="J40">
    <cfRule type="expression" dxfId="575" priority="195">
      <formula>#REF!="y"</formula>
    </cfRule>
    <cfRule type="expression" dxfId="574" priority="196">
      <formula>#REF!="Spring 2016"</formula>
    </cfRule>
    <cfRule type="expression" dxfId="573" priority="197">
      <formula>#REF!="Spring 2015"</formula>
    </cfRule>
    <cfRule type="expression" dxfId="572" priority="198">
      <formula>#REF!="Fall 2016"</formula>
    </cfRule>
    <cfRule type="expression" dxfId="571" priority="199">
      <formula>#REF!="Spring 2014"</formula>
    </cfRule>
    <cfRule type="expression" dxfId="570" priority="200">
      <formula>#REF!="Fall 2015"</formula>
    </cfRule>
    <cfRule type="expression" dxfId="569" priority="201">
      <formula>#REF!="Fall 2014"</formula>
    </cfRule>
    <cfRule type="expression" dxfId="568" priority="202">
      <formula>#REF!="Fall 2013"</formula>
    </cfRule>
  </conditionalFormatting>
  <conditionalFormatting sqref="J43">
    <cfRule type="expression" dxfId="567" priority="187">
      <formula>$G43="y"</formula>
    </cfRule>
    <cfRule type="expression" dxfId="566" priority="188">
      <formula>$E43="Spring 2016"</formula>
    </cfRule>
    <cfRule type="expression" dxfId="565" priority="189">
      <formula>$E43="Spring 2015"</formula>
    </cfRule>
    <cfRule type="expression" dxfId="564" priority="190">
      <formula>$E43="Fall 2016"</formula>
    </cfRule>
    <cfRule type="expression" dxfId="563" priority="191">
      <formula>$E43="Spring 2014"</formula>
    </cfRule>
    <cfRule type="expression" dxfId="562" priority="192">
      <formula>$E43="Fall 2015"</formula>
    </cfRule>
    <cfRule type="expression" dxfId="561" priority="193">
      <formula>$E43="Fall 2014"</formula>
    </cfRule>
    <cfRule type="expression" dxfId="560" priority="194">
      <formula>$E43="Fall 2013"</formula>
    </cfRule>
  </conditionalFormatting>
  <conditionalFormatting sqref="N28:R33">
    <cfRule type="cellIs" dxfId="559" priority="979" operator="greaterThan">
      <formula>$R$20</formula>
    </cfRule>
  </conditionalFormatting>
  <conditionalFormatting sqref="F41:F47 G2:H8 G11:H13 F8:F9 I8:I9 F10:I10 I41:I52 G15:H30 H44:H47 F50:F52 H50:H52 G36:H43 G31:G35">
    <cfRule type="cellIs" dxfId="558" priority="127" operator="equal">
      <formula>"N"</formula>
    </cfRule>
    <cfRule type="cellIs" dxfId="557" priority="128" operator="equal">
      <formula>"Y"</formula>
    </cfRule>
  </conditionalFormatting>
  <conditionalFormatting sqref="G2:H8 G10:H13 I48:I49 F41:I43 G15:H30 F44:F47 H44:I47 F50:F52 H50:I52 H36:H40 G31:G40">
    <cfRule type="cellIs" dxfId="556" priority="125" operator="equal">
      <formula>"y"</formula>
    </cfRule>
    <cfRule type="cellIs" dxfId="555" priority="126" operator="equal">
      <formula>"n"</formula>
    </cfRule>
  </conditionalFormatting>
  <conditionalFormatting sqref="C41:C47 C50:C52">
    <cfRule type="cellIs" dxfId="554" priority="123" operator="equal">
      <formula>"IT"</formula>
    </cfRule>
    <cfRule type="cellIs" dxfId="553" priority="124" operator="equal">
      <formula>"CompSci"</formula>
    </cfRule>
  </conditionalFormatting>
  <conditionalFormatting sqref="F5:F7 I5:I7">
    <cfRule type="cellIs" dxfId="552" priority="121" operator="equal">
      <formula>"N"</formula>
    </cfRule>
    <cfRule type="cellIs" dxfId="551" priority="122" operator="equal">
      <formula>"Y"</formula>
    </cfRule>
  </conditionalFormatting>
  <conditionalFormatting sqref="F2:F4 I2:I4">
    <cfRule type="cellIs" dxfId="550" priority="119" operator="equal">
      <formula>"N"</formula>
    </cfRule>
    <cfRule type="cellIs" dxfId="549" priority="120" operator="equal">
      <formula>"Y"</formula>
    </cfRule>
  </conditionalFormatting>
  <conditionalFormatting sqref="F11:F12 I11:I12">
    <cfRule type="cellIs" dxfId="548" priority="117" operator="equal">
      <formula>"N"</formula>
    </cfRule>
    <cfRule type="cellIs" dxfId="547" priority="118" operator="equal">
      <formula>"Y"</formula>
    </cfRule>
  </conditionalFormatting>
  <conditionalFormatting sqref="F13 I13 I15:I18 F15:F18">
    <cfRule type="cellIs" dxfId="546" priority="115" operator="equal">
      <formula>"N"</formula>
    </cfRule>
    <cfRule type="cellIs" dxfId="545" priority="116" operator="equal">
      <formula>"Y"</formula>
    </cfRule>
  </conditionalFormatting>
  <conditionalFormatting sqref="F22:F24 I22:I24">
    <cfRule type="cellIs" dxfId="544" priority="113" operator="equal">
      <formula>"N"</formula>
    </cfRule>
    <cfRule type="cellIs" dxfId="543" priority="114" operator="equal">
      <formula>"Y"</formula>
    </cfRule>
  </conditionalFormatting>
  <conditionalFormatting sqref="F19:F21 I19:I21">
    <cfRule type="cellIs" dxfId="542" priority="111" operator="equal">
      <formula>"N"</formula>
    </cfRule>
    <cfRule type="cellIs" dxfId="541" priority="112" operator="equal">
      <formula>"Y"</formula>
    </cfRule>
  </conditionalFormatting>
  <conditionalFormatting sqref="F25:F30 I25:I30">
    <cfRule type="cellIs" dxfId="540" priority="109" operator="equal">
      <formula>"N"</formula>
    </cfRule>
    <cfRule type="cellIs" dxfId="539" priority="110" operator="equal">
      <formula>"Y"</formula>
    </cfRule>
  </conditionalFormatting>
  <conditionalFormatting sqref="F31:F36 I31:I36">
    <cfRule type="cellIs" dxfId="538" priority="107" operator="equal">
      <formula>"N"</formula>
    </cfRule>
    <cfRule type="cellIs" dxfId="537" priority="108" operator="equal">
      <formula>"Y"</formula>
    </cfRule>
  </conditionalFormatting>
  <conditionalFormatting sqref="F37:F40 I37:I40">
    <cfRule type="cellIs" dxfId="536" priority="105" operator="equal">
      <formula>"N"</formula>
    </cfRule>
    <cfRule type="cellIs" dxfId="535" priority="106" operator="equal">
      <formula>"Y"</formula>
    </cfRule>
  </conditionalFormatting>
  <conditionalFormatting sqref="C2:C13 C15:C47 C50:C52">
    <cfRule type="cellIs" dxfId="534" priority="102" operator="equal">
      <formula>"both"</formula>
    </cfRule>
    <cfRule type="cellIs" dxfId="533" priority="103" operator="equal">
      <formula>"CompSci"</formula>
    </cfRule>
    <cfRule type="cellIs" dxfId="532" priority="104" operator="equal">
      <formula>"IT"</formula>
    </cfRule>
  </conditionalFormatting>
  <conditionalFormatting sqref="A2:D13 A46:F46 F2:I13 A31:C31 A47 C47:F47 I48:I49 A15:D30 A32:D45 F15:I30 F44:F45 H44:I47 A50:F52 H50:I52 F36:I43 F31:G35 I31:I35">
    <cfRule type="expression" dxfId="531" priority="129">
      <formula>$G2="y"</formula>
    </cfRule>
    <cfRule type="expression" dxfId="530" priority="130">
      <formula>$E2="Spring 2016"</formula>
    </cfRule>
    <cfRule type="expression" dxfId="529" priority="131">
      <formula>$E2="Spring 2015"</formula>
    </cfRule>
    <cfRule type="expression" dxfId="528" priority="132">
      <formula>$E2="Fall 2016"</formula>
    </cfRule>
    <cfRule type="expression" dxfId="527" priority="133">
      <formula>$E2="Spring 2014"</formula>
    </cfRule>
    <cfRule type="expression" dxfId="526" priority="134">
      <formula>$E2="Fall 2015"</formula>
    </cfRule>
    <cfRule type="expression" dxfId="525" priority="135">
      <formula>$E2="Fall 2014"</formula>
    </cfRule>
    <cfRule type="expression" dxfId="524" priority="136">
      <formula>$E2="Fall 2013"</formula>
    </cfRule>
  </conditionalFormatting>
  <conditionalFormatting sqref="G14:H14">
    <cfRule type="cellIs" dxfId="523" priority="92" operator="equal">
      <formula>"N"</formula>
    </cfRule>
    <cfRule type="cellIs" dxfId="522" priority="93" operator="equal">
      <formula>"Y"</formula>
    </cfRule>
  </conditionalFormatting>
  <conditionalFormatting sqref="G14:H14">
    <cfRule type="cellIs" dxfId="521" priority="90" operator="equal">
      <formula>"y"</formula>
    </cfRule>
    <cfRule type="cellIs" dxfId="520" priority="91" operator="equal">
      <formula>"n"</formula>
    </cfRule>
  </conditionalFormatting>
  <conditionalFormatting sqref="F14 I14">
    <cfRule type="cellIs" dxfId="519" priority="88" operator="equal">
      <formula>"N"</formula>
    </cfRule>
    <cfRule type="cellIs" dxfId="518" priority="89" operator="equal">
      <formula>"Y"</formula>
    </cfRule>
  </conditionalFormatting>
  <conditionalFormatting sqref="C14">
    <cfRule type="cellIs" dxfId="517" priority="85" operator="equal">
      <formula>"both"</formula>
    </cfRule>
    <cfRule type="cellIs" dxfId="516" priority="86" operator="equal">
      <formula>"CompSci"</formula>
    </cfRule>
    <cfRule type="cellIs" dxfId="515" priority="87" operator="equal">
      <formula>"IT"</formula>
    </cfRule>
  </conditionalFormatting>
  <conditionalFormatting sqref="A14:D14 F14:I14">
    <cfRule type="expression" dxfId="514" priority="94">
      <formula>$G14="y"</formula>
    </cfRule>
    <cfRule type="expression" dxfId="513" priority="95">
      <formula>$E14="Spring 2016"</formula>
    </cfRule>
    <cfRule type="expression" dxfId="512" priority="96">
      <formula>$E14="Spring 2015"</formula>
    </cfRule>
    <cfRule type="expression" dxfId="511" priority="97">
      <formula>$E14="Fall 2016"</formula>
    </cfRule>
    <cfRule type="expression" dxfId="510" priority="98">
      <formula>$E14="Spring 2014"</formula>
    </cfRule>
    <cfRule type="expression" dxfId="509" priority="99">
      <formula>$E14="Fall 2015"</formula>
    </cfRule>
    <cfRule type="expression" dxfId="508" priority="100">
      <formula>$E14="Fall 2014"</formula>
    </cfRule>
    <cfRule type="expression" dxfId="507" priority="101">
      <formula>$E14="Fall 2013"</formula>
    </cfRule>
  </conditionalFormatting>
  <conditionalFormatting sqref="F48 H48">
    <cfRule type="cellIs" dxfId="506" priority="75" operator="equal">
      <formula>"N"</formula>
    </cfRule>
    <cfRule type="cellIs" dxfId="505" priority="76" operator="equal">
      <formula>"Y"</formula>
    </cfRule>
  </conditionalFormatting>
  <conditionalFormatting sqref="F48 H48">
    <cfRule type="cellIs" dxfId="504" priority="73" operator="equal">
      <formula>"y"</formula>
    </cfRule>
    <cfRule type="cellIs" dxfId="503" priority="74" operator="equal">
      <formula>"n"</formula>
    </cfRule>
  </conditionalFormatting>
  <conditionalFormatting sqref="C48">
    <cfRule type="cellIs" dxfId="502" priority="71" operator="equal">
      <formula>"IT"</formula>
    </cfRule>
    <cfRule type="cellIs" dxfId="501" priority="72" operator="equal">
      <formula>"CompSci"</formula>
    </cfRule>
  </conditionalFormatting>
  <conditionalFormatting sqref="C48">
    <cfRule type="cellIs" dxfId="500" priority="68" operator="equal">
      <formula>"both"</formula>
    </cfRule>
    <cfRule type="cellIs" dxfId="499" priority="69" operator="equal">
      <formula>"CompSci"</formula>
    </cfRule>
    <cfRule type="cellIs" dxfId="498" priority="70" operator="equal">
      <formula>"IT"</formula>
    </cfRule>
  </conditionalFormatting>
  <conditionalFormatting sqref="A48 C48:F48 H48">
    <cfRule type="expression" dxfId="497" priority="77">
      <formula>$G48="y"</formula>
    </cfRule>
    <cfRule type="expression" dxfId="496" priority="78">
      <formula>$E48="Spring 2016"</formula>
    </cfRule>
    <cfRule type="expression" dxfId="495" priority="79">
      <formula>$E48="Spring 2015"</formula>
    </cfRule>
    <cfRule type="expression" dxfId="494" priority="80">
      <formula>$E48="Fall 2016"</formula>
    </cfRule>
    <cfRule type="expression" dxfId="493" priority="81">
      <formula>$E48="Spring 2014"</formula>
    </cfRule>
    <cfRule type="expression" dxfId="492" priority="82">
      <formula>$E48="Fall 2015"</formula>
    </cfRule>
    <cfRule type="expression" dxfId="491" priority="83">
      <formula>$E48="Fall 2014"</formula>
    </cfRule>
    <cfRule type="expression" dxfId="490" priority="84">
      <formula>$E48="Fall 2013"</formula>
    </cfRule>
  </conditionalFormatting>
  <conditionalFormatting sqref="F49 H49">
    <cfRule type="cellIs" dxfId="489" priority="58" operator="equal">
      <formula>"N"</formula>
    </cfRule>
    <cfRule type="cellIs" dxfId="488" priority="59" operator="equal">
      <formula>"Y"</formula>
    </cfRule>
  </conditionalFormatting>
  <conditionalFormatting sqref="F49 H49">
    <cfRule type="cellIs" dxfId="487" priority="56" operator="equal">
      <formula>"y"</formula>
    </cfRule>
    <cfRule type="cellIs" dxfId="486" priority="57" operator="equal">
      <formula>"n"</formula>
    </cfRule>
  </conditionalFormatting>
  <conditionalFormatting sqref="C49">
    <cfRule type="cellIs" dxfId="485" priority="54" operator="equal">
      <formula>"IT"</formula>
    </cfRule>
    <cfRule type="cellIs" dxfId="484" priority="55" operator="equal">
      <formula>"CompSci"</formula>
    </cfRule>
  </conditionalFormatting>
  <conditionalFormatting sqref="C49">
    <cfRule type="cellIs" dxfId="483" priority="51" operator="equal">
      <formula>"both"</formula>
    </cfRule>
    <cfRule type="cellIs" dxfId="482" priority="52" operator="equal">
      <formula>"CompSci"</formula>
    </cfRule>
    <cfRule type="cellIs" dxfId="481" priority="53" operator="equal">
      <formula>"IT"</formula>
    </cfRule>
  </conditionalFormatting>
  <conditionalFormatting sqref="A49 C49:F49 H49">
    <cfRule type="expression" dxfId="480" priority="60">
      <formula>$G49="y"</formula>
    </cfRule>
    <cfRule type="expression" dxfId="479" priority="61">
      <formula>$E49="Spring 2016"</formula>
    </cfRule>
    <cfRule type="expression" dxfId="478" priority="62">
      <formula>$E49="Spring 2015"</formula>
    </cfRule>
    <cfRule type="expression" dxfId="477" priority="63">
      <formula>$E49="Fall 2016"</formula>
    </cfRule>
    <cfRule type="expression" dxfId="476" priority="64">
      <formula>$E49="Spring 2014"</formula>
    </cfRule>
    <cfRule type="expression" dxfId="475" priority="65">
      <formula>$E49="Fall 2015"</formula>
    </cfRule>
    <cfRule type="expression" dxfId="474" priority="66">
      <formula>$E49="Fall 2014"</formula>
    </cfRule>
    <cfRule type="expression" dxfId="473" priority="67">
      <formula>$E49="Fall 2013"</formula>
    </cfRule>
  </conditionalFormatting>
  <conditionalFormatting sqref="I32">
    <cfRule type="cellIs" dxfId="472" priority="49" operator="equal">
      <formula>"N"</formula>
    </cfRule>
    <cfRule type="cellIs" dxfId="471" priority="50" operator="equal">
      <formula>"Y"</formula>
    </cfRule>
  </conditionalFormatting>
  <conditionalFormatting sqref="G44:G47">
    <cfRule type="cellIs" dxfId="470" priority="39" operator="equal">
      <formula>"N"</formula>
    </cfRule>
    <cfRule type="cellIs" dxfId="469" priority="40" operator="equal">
      <formula>"Y"</formula>
    </cfRule>
  </conditionalFormatting>
  <conditionalFormatting sqref="G44:G47">
    <cfRule type="cellIs" dxfId="468" priority="37" operator="equal">
      <formula>"y"</formula>
    </cfRule>
    <cfRule type="cellIs" dxfId="467" priority="38" operator="equal">
      <formula>"n"</formula>
    </cfRule>
  </conditionalFormatting>
  <conditionalFormatting sqref="G44:G47">
    <cfRule type="expression" dxfId="466" priority="41">
      <formula>$G44="y"</formula>
    </cfRule>
  </conditionalFormatting>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O113"/>
  <sheetViews>
    <sheetView tabSelected="1" zoomScale="70" zoomScaleNormal="70" workbookViewId="0">
      <selection activeCell="B118" sqref="B118"/>
    </sheetView>
    <sheetView topLeftCell="K1" workbookViewId="1">
      <selection activeCell="W51" sqref="W51"/>
    </sheetView>
  </sheetViews>
  <sheetFormatPr defaultRowHeight="15" outlineLevelRow="1" outlineLevelCol="2"/>
  <cols>
    <col min="1" max="1" width="14.85546875" style="3" customWidth="1"/>
    <col min="2" max="2" width="5.140625" style="3" bestFit="1" customWidth="1"/>
    <col min="3" max="3" width="15.7109375" style="3" customWidth="1" outlineLevel="1"/>
    <col min="4" max="4" width="25.7109375" style="3" customWidth="1" outlineLevel="1"/>
    <col min="5" max="5" width="16.140625" style="3" customWidth="1" outlineLevel="1"/>
    <col min="6" max="6" width="9.5703125" style="3" customWidth="1" outlineLevel="1"/>
    <col min="7" max="7" width="8" style="3" customWidth="1" outlineLevel="1"/>
    <col min="8" max="8" width="14.28515625" style="3" customWidth="1" outlineLevel="1"/>
    <col min="9" max="9" width="16.85546875" style="3" customWidth="1" outlineLevel="1"/>
    <col min="10" max="10" width="19.140625" style="3" bestFit="1" customWidth="1" outlineLevel="1"/>
    <col min="11" max="11" width="10.7109375" style="3" customWidth="1"/>
    <col min="12" max="12" width="5.140625" style="3" bestFit="1" customWidth="1"/>
    <col min="13" max="13" width="15.7109375" style="3" customWidth="1" outlineLevel="1"/>
    <col min="14" max="14" width="25.7109375" style="3" customWidth="1" outlineLevel="1"/>
    <col min="15" max="15" width="16.140625" style="3" customWidth="1" outlineLevel="1"/>
    <col min="16" max="16" width="9.5703125" style="3" customWidth="1" outlineLevel="1"/>
    <col min="17" max="17" width="5.42578125" style="3" customWidth="1" outlineLevel="1"/>
    <col min="18" max="18" width="14.28515625" style="3" customWidth="1" outlineLevel="1"/>
    <col min="19" max="19" width="18.5703125" style="3" customWidth="1" outlineLevel="1"/>
    <col min="20" max="20" width="19.140625" style="3" customWidth="1" outlineLevel="1"/>
    <col min="21" max="21" width="10.7109375" style="3" customWidth="1"/>
    <col min="22" max="22" width="5.140625" style="3" bestFit="1" customWidth="1"/>
    <col min="23" max="23" width="15.7109375" style="3" customWidth="1" outlineLevel="1"/>
    <col min="24" max="24" width="25.7109375" style="3" customWidth="1" outlineLevel="1"/>
    <col min="25" max="25" width="16.140625" style="3" bestFit="1" customWidth="1" outlineLevel="1"/>
    <col min="26" max="26" width="10.140625" style="3" customWidth="1" outlineLevel="1"/>
    <col min="27" max="27" width="5.7109375" style="3" customWidth="1" outlineLevel="1"/>
    <col min="28" max="28" width="10.7109375" style="3" bestFit="1" customWidth="1" outlineLevel="1"/>
    <col min="29" max="29" width="16.85546875" style="3" bestFit="1" customWidth="1" outlineLevel="1"/>
    <col min="30" max="30" width="19.140625" style="3" customWidth="1" outlineLevel="1"/>
    <col min="31" max="31" width="10.7109375" style="3" customWidth="1"/>
    <col min="32" max="32" width="5.140625" style="3" bestFit="1" customWidth="1"/>
    <col min="33" max="33" width="15.7109375" style="3" customWidth="1" outlineLevel="2"/>
    <col min="34" max="34" width="25.7109375" style="3" customWidth="1" outlineLevel="2"/>
    <col min="35" max="35" width="16.140625" style="3" customWidth="1" outlineLevel="2"/>
    <col min="36" max="36" width="9.5703125" style="3" customWidth="1" outlineLevel="2"/>
    <col min="37" max="37" width="5.7109375" style="3" customWidth="1" outlineLevel="2"/>
    <col min="38" max="38" width="10.7109375" style="3" customWidth="1" outlineLevel="2"/>
    <col min="39" max="39" width="16.85546875" style="3" customWidth="1" outlineLevel="2"/>
    <col min="40" max="40" width="14.28515625" style="3" customWidth="1" outlineLevel="2"/>
    <col min="41" max="16384" width="9.140625" style="3"/>
  </cols>
  <sheetData>
    <row r="1" spans="1:40" ht="21.75" thickBot="1">
      <c r="A1" s="89" t="s">
        <v>88</v>
      </c>
      <c r="B1" s="39"/>
      <c r="L1" s="178"/>
      <c r="M1" s="178"/>
      <c r="P1" s="94"/>
      <c r="Q1" s="95"/>
      <c r="R1" s="95"/>
      <c r="S1" s="95"/>
      <c r="T1" s="95"/>
      <c r="V1" s="178"/>
      <c r="W1" s="178"/>
      <c r="AF1" s="178"/>
      <c r="AG1" s="178"/>
    </row>
    <row r="2" spans="1:40" s="24" customFormat="1" ht="23.25" customHeight="1" outlineLevel="1" thickBot="1">
      <c r="B2" s="171" t="s">
        <v>607</v>
      </c>
      <c r="C2" s="179" t="s">
        <v>1</v>
      </c>
      <c r="D2" s="180"/>
      <c r="E2" s="181"/>
      <c r="F2" s="164" t="str">
        <f>GradeStatus(StartingCredits)&amp;"--"&amp;StartingCredits&amp;" Credits "&amp;F12&amp;" In Progress"</f>
        <v>Freshmen--11 Credits 27 In Progress</v>
      </c>
      <c r="G2" s="165"/>
      <c r="H2" s="165"/>
      <c r="I2" s="165"/>
      <c r="J2" s="165"/>
      <c r="L2" s="171" t="s">
        <v>94</v>
      </c>
      <c r="M2" s="175" t="s">
        <v>15</v>
      </c>
      <c r="N2" s="176"/>
      <c r="O2" s="177"/>
      <c r="P2" s="166" t="str">
        <f>GradeStatus(F12)&amp;"--"&amp;F12&amp;" Credits "&amp;P12&amp;" In Progress"</f>
        <v>Sophomore--27 Credits 30 In Progress</v>
      </c>
      <c r="Q2" s="167"/>
      <c r="R2" s="167"/>
      <c r="S2" s="167"/>
      <c r="T2" s="167"/>
      <c r="V2" s="171" t="s">
        <v>95</v>
      </c>
      <c r="W2" s="168" t="s">
        <v>2</v>
      </c>
      <c r="X2" s="169"/>
      <c r="Y2" s="170"/>
      <c r="Z2" s="162" t="str">
        <f>GradeStatus(P12)&amp;"--"&amp;P12&amp;" Credits "&amp;Z12&amp;" In Progress"</f>
        <v>Sophomore--30 Credits 44 In Progress</v>
      </c>
      <c r="AA2" s="163"/>
      <c r="AB2" s="163"/>
      <c r="AC2" s="163"/>
      <c r="AD2" s="163"/>
      <c r="AF2" s="171" t="s">
        <v>96</v>
      </c>
      <c r="AG2" s="172" t="s">
        <v>233</v>
      </c>
      <c r="AH2" s="173"/>
      <c r="AI2" s="174"/>
      <c r="AJ2" s="160" t="str">
        <f>GradeStatus(Z12)&amp;"--"&amp;Z12&amp;" Credits "&amp;AJ12&amp;" In Progress"</f>
        <v>Sophomore--44 Credits 44 In Progress</v>
      </c>
      <c r="AK2" s="161"/>
      <c r="AL2" s="161"/>
      <c r="AM2" s="161"/>
      <c r="AN2" s="161"/>
    </row>
    <row r="3" spans="1:40" ht="15.75" outlineLevel="1" thickBot="1">
      <c r="B3" s="171"/>
      <c r="C3" s="3" t="s">
        <v>20</v>
      </c>
      <c r="D3" s="3" t="s">
        <v>24</v>
      </c>
      <c r="E3" s="3" t="s">
        <v>25</v>
      </c>
      <c r="F3" s="3" t="s">
        <v>10</v>
      </c>
      <c r="G3" s="3" t="s">
        <v>26</v>
      </c>
      <c r="H3" s="3" t="s">
        <v>12</v>
      </c>
      <c r="I3" s="3" t="s">
        <v>36</v>
      </c>
      <c r="J3" s="3" t="s">
        <v>28</v>
      </c>
      <c r="L3" s="171"/>
      <c r="M3" s="3" t="s">
        <v>20</v>
      </c>
      <c r="N3" s="3" t="s">
        <v>24</v>
      </c>
      <c r="O3" s="3" t="s">
        <v>25</v>
      </c>
      <c r="P3" s="3" t="s">
        <v>10</v>
      </c>
      <c r="Q3" s="3" t="s">
        <v>26</v>
      </c>
      <c r="R3" s="3" t="s">
        <v>12</v>
      </c>
      <c r="S3" s="3" t="s">
        <v>36</v>
      </c>
      <c r="T3" s="3" t="s">
        <v>28</v>
      </c>
      <c r="V3" s="171"/>
      <c r="W3" s="3" t="s">
        <v>20</v>
      </c>
      <c r="X3" s="3" t="s">
        <v>24</v>
      </c>
      <c r="Y3" s="3" t="s">
        <v>25</v>
      </c>
      <c r="Z3" s="3" t="s">
        <v>10</v>
      </c>
      <c r="AA3" s="3" t="s">
        <v>26</v>
      </c>
      <c r="AB3" s="3" t="s">
        <v>12</v>
      </c>
      <c r="AC3" s="3" t="s">
        <v>36</v>
      </c>
      <c r="AD3" s="3" t="s">
        <v>28</v>
      </c>
      <c r="AF3" s="171"/>
      <c r="AG3" s="3" t="s">
        <v>20</v>
      </c>
      <c r="AH3" s="3" t="s">
        <v>24</v>
      </c>
      <c r="AI3" s="3" t="s">
        <v>25</v>
      </c>
      <c r="AJ3" s="3" t="s">
        <v>10</v>
      </c>
      <c r="AK3" s="3" t="s">
        <v>26</v>
      </c>
      <c r="AL3" s="3" t="s">
        <v>12</v>
      </c>
      <c r="AM3" s="3" t="s">
        <v>36</v>
      </c>
      <c r="AN3" s="3" t="s">
        <v>28</v>
      </c>
    </row>
    <row r="4" spans="1:40" ht="15.75" outlineLevel="1" thickBot="1">
      <c r="B4" s="171"/>
      <c r="C4" s="17" t="s">
        <v>128</v>
      </c>
      <c r="D4" s="3" t="str">
        <f>IF(CSMINORFALL201336[[#This Row],[Course]]= "","",IFERROR(VLOOKUP(CSMINORFALL201336[[#This Row],[Course]],COURSELIST[],2,FALSE),"Course Not Found!"))</f>
        <v>Individual and Society</v>
      </c>
      <c r="E4" s="3" t="str">
        <f>IF(CSMINORFALL201336[[#This Row],[Course]]= "","",IFERROR(VLOOKUP(CSMINORFALL201336[[#This Row],[Course]],COURSELIST[],3,FALSE),""))</f>
        <v>Both</v>
      </c>
      <c r="F4" s="3">
        <f>IF(CSMINORFALL201336[[#This Row],[Course]]= "","",IFERROR(VLOOKUP(CSMINORFALL201336[[#This Row],[Course]],COURSELIST[],4,FALSE),""))</f>
        <v>3</v>
      </c>
      <c r="H4" s="3" t="str">
        <f>IF(CSMINORFALL201336[[#This Row],[Course]]= "","",IFERROR(VLOOKUP(CSMINORFALL201336[[#This Row],[Course]],COURSELIST[],6,FALSE),""))</f>
        <v>y</v>
      </c>
      <c r="I4" s="3" t="str">
        <f>IF(CSMINORFALL201336[[#This Row],[Course]]= "","",IFERROR(VLOOKUP(CSMINORFALL201336[[#This Row],[Course]],COURSELIST[],7,FALSE),""))</f>
        <v>y</v>
      </c>
      <c r="J4" s="3">
        <f>IF(CSMINORFALL201336[[#This Row],[Course]]= "","",IFERROR(VLOOKUP(CSMINORFALL201336[[#This Row],[Course]],COURSELIST[],8,FALSE),""))</f>
        <v>9</v>
      </c>
      <c r="L4" s="171"/>
      <c r="M4" s="28" t="s">
        <v>230</v>
      </c>
      <c r="N4" s="3" t="str">
        <f>IF(CSMINORWINTERIM201441[[#This Row],[Course]]= "","",IFERROR(VLOOKUP(CSMINORWINTERIM201441[[#This Row],[Course]],COURSELIST[],2,FALSE), "Class Not Found!"))</f>
        <v>WOTA</v>
      </c>
      <c r="O4" s="3" t="str">
        <f>IF(CSMINORWINTERIM201441[[#This Row],[Course]]= "","",IFERROR(VLOOKUP(CSMINORWINTERIM201441[[#This Row],[Course]],COURSELIST[],3,FALSE),""))</f>
        <v>Both</v>
      </c>
      <c r="P4" s="3">
        <f>IF(CSMINORWINTERIM201441[[#This Row],[Course]]= "","",IFERROR(VLOOKUP(CSMINORWINTERIM201441[[#This Row],[Course]],COURSELIST[],4,FALSE),""))</f>
        <v>3</v>
      </c>
      <c r="R4" s="3" t="str">
        <f>IF(CSMINORWINTERIM201441[[#This Row],[Course]]= "","",IFERROR(VLOOKUP(CSMINORWINTERIM201441[[#This Row],[Course]],COURSELIST[],6,FALSE),""))</f>
        <v>y</v>
      </c>
      <c r="S4" s="3" t="str">
        <f>IF(CSMINORWINTERIM201441[[#This Row],[Course]]= "","",IFERROR(VLOOKUP(CSMINORWINTERIM201441[[#This Row],[Course]],COURSELIST[],7,FALSE),""))</f>
        <v>y</v>
      </c>
      <c r="T4" s="3">
        <f>IF(CSMINORWINTERIM201441[[#This Row],[Course]]= "","",IFERROR(VLOOKUP(CSMINORWINTERIM201441[[#This Row],[Course]],COURSELIST[],8,FALSE),""))</f>
        <v>12</v>
      </c>
      <c r="V4" s="171"/>
      <c r="W4" s="26" t="s">
        <v>179</v>
      </c>
      <c r="X4" s="3" t="str">
        <f>IF(Table102940[[#This Row],[Course]]= "","",IFERROR(VLOOKUP(Table102940[[#This Row],[Course]],COURSELIST[],2,FALSE), "Class Not Found!"))</f>
        <v>English 2</v>
      </c>
      <c r="Y4" s="3" t="str">
        <f>IF(Table102940[[#This Row],[Course]]= "","",IFERROR(VLOOKUP(Table102940[[#This Row],[Course]],COURSELIST[],3,FALSE),""))</f>
        <v>Both</v>
      </c>
      <c r="Z4" s="3">
        <f>IF(Table102940[[#This Row],[Course]]= "","",IFERROR(VLOOKUP(Table102940[[#This Row],[Course]],COURSELIST[],4,FALSE),""))</f>
        <v>3</v>
      </c>
      <c r="AB4" s="3" t="str">
        <f>IF(Table102940[[#This Row],[Course]]= "","",IFERROR(VLOOKUP(Table102940[[#This Row],[Course]],COURSELIST[],6,FALSE),""))</f>
        <v>y</v>
      </c>
      <c r="AC4" s="3" t="str">
        <f>IF(Table102940[[#This Row],[Course]]= "","",IFERROR(VLOOKUP(Table102940[[#This Row],[Course]],COURSELIST[],7,FALSE),""))</f>
        <v>y</v>
      </c>
      <c r="AD4" s="3">
        <f>IF(Table102940[[#This Row],[Course]]= "","",IFERROR(VLOOKUP(Table102940[[#This Row],[Course]],COURSELIST[],8,FALSE),""))</f>
        <v>11</v>
      </c>
      <c r="AF4" s="171"/>
      <c r="AG4" s="17"/>
      <c r="AH4" s="3" t="str">
        <f>IF(Table92839495253542[[#This Row],[Course]]= "","",IFERROR(VLOOKUP(Table92839495253542[[#This Row],[Course]],COURSELIST[],2,FALSE),"Course Not Found!"))</f>
        <v/>
      </c>
      <c r="AI4" s="3" t="str">
        <f>IF(Table92839495253542[[#This Row],[Course]]= "","",IFERROR(VLOOKUP(Table92839495253542[[#This Row],[Course]],COURSELIST[],3,FALSE),""))</f>
        <v/>
      </c>
      <c r="AJ4" s="3" t="str">
        <f>IF(Table92839495253542[[#This Row],[Course]]= "","",IFERROR(VLOOKUP(Table92839495253542[[#This Row],[Course]],COURSELIST[],4,FALSE),""))</f>
        <v/>
      </c>
      <c r="AL4" s="3" t="str">
        <f>IF(Table92839495253542[[#This Row],[Course]]= "","",IFERROR(VLOOKUP(Table92839495253542[[#This Row],[Course]],COURSELIST[],6,FALSE),""))</f>
        <v/>
      </c>
      <c r="AM4" s="3" t="str">
        <f>IF(Table92839495253542[[#This Row],[Course]]= "","",IFERROR(VLOOKUP(Table92839495253542[[#This Row],[Course]],COURSELIST[],7,FALSE),""))</f>
        <v/>
      </c>
      <c r="AN4" s="3" t="str">
        <f>IF(Table92839495253542[[#This Row],[Course]]= "","",IFERROR(VLOOKUP(Table92839495253542[[#This Row],[Course]],COURSELIST[],8,FALSE),""))</f>
        <v/>
      </c>
    </row>
    <row r="5" spans="1:40" ht="15.75" outlineLevel="1" thickBot="1">
      <c r="B5" s="171"/>
      <c r="C5" s="17" t="s">
        <v>130</v>
      </c>
      <c r="D5" s="3" t="str">
        <f>IF(CSMINORFALL201336[[#This Row],[Course]]= "","",IFERROR(VLOOKUP(CSMINORFALL201336[[#This Row],[Course]],COURSELIST[],2,FALSE),"Course Not Found!"))</f>
        <v>Global Perspectives</v>
      </c>
      <c r="E5" s="3" t="str">
        <f>IF(CSMINORFALL201336[[#This Row],[Course]]= "","",IFERROR(VLOOKUP(CSMINORFALL201336[[#This Row],[Course]],COURSELIST[],3,FALSE),""))</f>
        <v>Both</v>
      </c>
      <c r="F5" s="3">
        <f>IF(CSMINORFALL201336[[#This Row],[Course]]= "","",IFERROR(VLOOKUP(CSMINORFALL201336[[#This Row],[Course]],COURSELIST[],4,FALSE),""))</f>
        <v>3</v>
      </c>
      <c r="H5" s="3" t="str">
        <f>IF(CSMINORFALL201336[[#This Row],[Course]]= "","",IFERROR(VLOOKUP(CSMINORFALL201336[[#This Row],[Course]],COURSELIST[],6,FALSE),""))</f>
        <v>y</v>
      </c>
      <c r="I5" s="3" t="str">
        <f>IF(CSMINORFALL201336[[#This Row],[Course]]= "","",IFERROR(VLOOKUP(CSMINORFALL201336[[#This Row],[Course]],COURSELIST[],7,FALSE),""))</f>
        <v>y</v>
      </c>
      <c r="J5" s="3">
        <f>IF(CSMINORFALL201336[[#This Row],[Course]]= "","",IFERROR(VLOOKUP(CSMINORFALL201336[[#This Row],[Course]],COURSELIST[],8,FALSE),""))</f>
        <v>9</v>
      </c>
      <c r="L5" s="171"/>
      <c r="M5" s="17"/>
      <c r="N5" s="3" t="str">
        <f>IF(CSMINORWINTERIM201441[[#This Row],[Course]]= "","",IFERROR(VLOOKUP(CSMINORWINTERIM201441[[#This Row],[Course]],COURSELIST[],2,FALSE), "Class Not Found!"))</f>
        <v/>
      </c>
      <c r="O5" s="3" t="str">
        <f>IF(CSMINORWINTERIM201441[[#This Row],[Course]]= "","",IFERROR(VLOOKUP(CSMINORWINTERIM201441[[#This Row],[Course]],COURSELIST[],3,FALSE),""))</f>
        <v/>
      </c>
      <c r="P5" s="3" t="str">
        <f>IF(CSMINORWINTERIM201441[[#This Row],[Course]]= "","",IFERROR(VLOOKUP(CSMINORWINTERIM201441[[#This Row],[Course]],COURSELIST[],4,FALSE),""))</f>
        <v/>
      </c>
      <c r="R5" s="3" t="str">
        <f>IF(CSMINORWINTERIM201441[[#This Row],[Course]]= "","",IFERROR(VLOOKUP(CSMINORWINTERIM201441[[#This Row],[Course]],COURSELIST[],6,FALSE),""))</f>
        <v/>
      </c>
      <c r="S5" s="3" t="str">
        <f>IF(CSMINORWINTERIM201441[[#This Row],[Course]]= "","",IFERROR(VLOOKUP(CSMINORWINTERIM201441[[#This Row],[Course]],COURSELIST[],7,FALSE),""))</f>
        <v/>
      </c>
      <c r="T5" s="3" t="str">
        <f>IF(CSMINORWINTERIM201441[[#This Row],[Course]]= "","",IFERROR(VLOOKUP(CSMINORWINTERIM201441[[#This Row],[Course]],COURSELIST[],8,FALSE),""))</f>
        <v/>
      </c>
      <c r="V5" s="171"/>
      <c r="W5" s="17" t="s">
        <v>177</v>
      </c>
      <c r="X5" s="3" t="str">
        <f>IF(Table102940[[#This Row],[Course]]= "","",IFERROR(VLOOKUP(Table102940[[#This Row],[Course]],COURSELIST[],2,FALSE), "Class Not Found!"))</f>
        <v>Economics</v>
      </c>
      <c r="Y5" s="3" t="str">
        <f>IF(Table102940[[#This Row],[Course]]= "","",IFERROR(VLOOKUP(Table102940[[#This Row],[Course]],COURSELIST[],3,FALSE),""))</f>
        <v>IT</v>
      </c>
      <c r="Z5" s="3">
        <f>IF(Table102940[[#This Row],[Course]]= "","",IFERROR(VLOOKUP(Table102940[[#This Row],[Course]],COURSELIST[],4,FALSE),""))</f>
        <v>3</v>
      </c>
      <c r="AB5" s="3" t="str">
        <f>IF(Table102940[[#This Row],[Course]]= "","",IFERROR(VLOOKUP(Table102940[[#This Row],[Course]],COURSELIST[],6,FALSE),""))</f>
        <v>y</v>
      </c>
      <c r="AC5" s="3" t="str">
        <f>IF(Table102940[[#This Row],[Course]]= "","",IFERROR(VLOOKUP(Table102940[[#This Row],[Course]],COURSELIST[],7,FALSE),""))</f>
        <v>y</v>
      </c>
      <c r="AD5" s="3">
        <f>IF(Table102940[[#This Row],[Course]]= "","",IFERROR(VLOOKUP(Table102940[[#This Row],[Course]],COURSELIST[],8,FALSE),""))</f>
        <v>12</v>
      </c>
      <c r="AF5" s="171"/>
      <c r="AG5" s="26"/>
      <c r="AH5" s="3" t="str">
        <f>IF(Table92839495253542[[#This Row],[Course]]= "","",IFERROR(VLOOKUP(Table92839495253542[[#This Row],[Course]],COURSELIST[],2,FALSE),"Course Not Found!"))</f>
        <v/>
      </c>
      <c r="AI5" s="3" t="str">
        <f>IF(Table92839495253542[[#This Row],[Course]]= "","",IFERROR(VLOOKUP(Table92839495253542[[#This Row],[Course]],COURSELIST[],3,FALSE),""))</f>
        <v/>
      </c>
      <c r="AJ5" s="3" t="str">
        <f>IF(Table92839495253542[[#This Row],[Course]]= "","",IFERROR(VLOOKUP(Table92839495253542[[#This Row],[Course]],COURSELIST[],4,FALSE),""))</f>
        <v/>
      </c>
      <c r="AL5" s="3" t="str">
        <f>IF(Table92839495253542[[#This Row],[Course]]= "","",IFERROR(VLOOKUP(Table92839495253542[[#This Row],[Course]],COURSELIST[],6,FALSE),""))</f>
        <v/>
      </c>
      <c r="AM5" s="3" t="str">
        <f>IF(Table92839495253542[[#This Row],[Course]]= "","",IFERROR(VLOOKUP(Table92839495253542[[#This Row],[Course]],COURSELIST[],7,FALSE),""))</f>
        <v/>
      </c>
      <c r="AN5" s="3" t="str">
        <f>IF(Table92839495253542[[#This Row],[Course]]= "","",IFERROR(VLOOKUP(Table92839495253542[[#This Row],[Course]],COURSELIST[],8,FALSE),""))</f>
        <v/>
      </c>
    </row>
    <row r="6" spans="1:40" ht="15.75" outlineLevel="1" thickBot="1">
      <c r="B6" s="171"/>
      <c r="C6" s="17" t="s">
        <v>134</v>
      </c>
      <c r="D6" s="3" t="str">
        <f>IF(CSMINORFALL201336[[#This Row],[Course]]= "","",IFERROR(VLOOKUP(CSMINORFALL201336[[#This Row],[Course]],COURSELIST[],2,FALSE),"Course Not Found!"))</f>
        <v>Intro To Business</v>
      </c>
      <c r="E6" s="3" t="str">
        <f>IF(CSMINORFALL201336[[#This Row],[Course]]= "","",IFERROR(VLOOKUP(CSMINORFALL201336[[#This Row],[Course]],COURSELIST[],3,FALSE),""))</f>
        <v>IT</v>
      </c>
      <c r="F6" s="3">
        <f>IF(CSMINORFALL201336[[#This Row],[Course]]= "","",IFERROR(VLOOKUP(CSMINORFALL201336[[#This Row],[Course]],COURSELIST[],4,FALSE),""))</f>
        <v>3</v>
      </c>
      <c r="H6" s="3" t="str">
        <f>IF(CSMINORFALL201336[[#This Row],[Course]]= "","",IFERROR(VLOOKUP(CSMINORFALL201336[[#This Row],[Course]],COURSELIST[],6,FALSE),""))</f>
        <v>y</v>
      </c>
      <c r="I6" s="3" t="str">
        <f>IF(CSMINORFALL201336[[#This Row],[Course]]= "","",IFERROR(VLOOKUP(CSMINORFALL201336[[#This Row],[Course]],COURSELIST[],7,FALSE),""))</f>
        <v>y</v>
      </c>
      <c r="J6" s="3">
        <f>IF(CSMINORFALL201336[[#This Row],[Course]]= "","",IFERROR(VLOOKUP(CSMINORFALL201336[[#This Row],[Course]],COURSELIST[],8,FALSE),""))</f>
        <v>12</v>
      </c>
      <c r="L6" s="171"/>
      <c r="M6" s="17"/>
      <c r="N6" s="3" t="str">
        <f>IF(CSMINORWINTERIM201441[[#This Row],[Course]]= "","",IFERROR(VLOOKUP(CSMINORWINTERIM201441[[#This Row],[Course]],COURSELIST[],2,FALSE), "Class Not Found!"))</f>
        <v/>
      </c>
      <c r="O6" s="3" t="str">
        <f>IF(CSMINORWINTERIM201441[[#This Row],[Course]]= "","",IFERROR(VLOOKUP(CSMINORWINTERIM201441[[#This Row],[Course]],COURSELIST[],3,FALSE),""))</f>
        <v/>
      </c>
      <c r="P6" s="3" t="str">
        <f>IF(CSMINORWINTERIM201441[[#This Row],[Course]]= "","",IFERROR(VLOOKUP(CSMINORWINTERIM201441[[#This Row],[Course]],COURSELIST[],4,FALSE),""))</f>
        <v/>
      </c>
      <c r="R6" s="3" t="str">
        <f>IF(CSMINORWINTERIM201441[[#This Row],[Course]]= "","",IFERROR(VLOOKUP(CSMINORWINTERIM201441[[#This Row],[Course]],COURSELIST[],6,FALSE),""))</f>
        <v/>
      </c>
      <c r="S6" s="3" t="str">
        <f>IF(CSMINORWINTERIM201441[[#This Row],[Course]]= "","",IFERROR(VLOOKUP(CSMINORWINTERIM201441[[#This Row],[Course]],COURSELIST[],7,FALSE),""))</f>
        <v/>
      </c>
      <c r="T6" s="3" t="str">
        <f>IF(CSMINORWINTERIM201441[[#This Row],[Course]]= "","",IFERROR(VLOOKUP(CSMINORWINTERIM201441[[#This Row],[Course]],COURSELIST[],8,FALSE),""))</f>
        <v/>
      </c>
      <c r="V6" s="171"/>
      <c r="W6" s="26" t="s">
        <v>175</v>
      </c>
      <c r="X6" s="3" t="str">
        <f>IF(Table102940[[#This Row],[Course]]= "","",IFERROR(VLOOKUP(Table102940[[#This Row],[Course]],COURSELIST[],2,FALSE), "Class Not Found!"))</f>
        <v xml:space="preserve">Bio 120--Intro To Bio  </v>
      </c>
      <c r="Y6" s="3" t="str">
        <f>IF(Table102940[[#This Row],[Course]]= "","",IFERROR(VLOOKUP(Table102940[[#This Row],[Course]],COURSELIST[],3,FALSE),""))</f>
        <v>Both</v>
      </c>
      <c r="Z6" s="3">
        <f>IF(Table102940[[#This Row],[Course]]= "","",IFERROR(VLOOKUP(Table102940[[#This Row],[Course]],COURSELIST[],4,FALSE),""))</f>
        <v>4</v>
      </c>
      <c r="AB6" s="3" t="str">
        <f>IF(Table102940[[#This Row],[Course]]= "","",IFERROR(VLOOKUP(Table102940[[#This Row],[Course]],COURSELIST[],6,FALSE),""))</f>
        <v>y</v>
      </c>
      <c r="AC6" s="3" t="str">
        <f>IF(Table102940[[#This Row],[Course]]= "","",IFERROR(VLOOKUP(Table102940[[#This Row],[Course]],COURSELIST[],7,FALSE),""))</f>
        <v>y</v>
      </c>
      <c r="AD6" s="3">
        <f>IF(Table102940[[#This Row],[Course]]= "","",IFERROR(VLOOKUP(Table102940[[#This Row],[Course]],COURSELIST[],8,FALSE),""))</f>
        <v>12</v>
      </c>
      <c r="AF6" s="171"/>
      <c r="AG6" s="17"/>
      <c r="AH6" s="3" t="str">
        <f>IF(Table92839495253542[[#This Row],[Course]]= "","",IFERROR(VLOOKUP(Table92839495253542[[#This Row],[Course]],COURSELIST[],2,FALSE),"Course Not Found!"))</f>
        <v/>
      </c>
      <c r="AI6" s="3" t="str">
        <f>IF(Table92839495253542[[#This Row],[Course]]= "","",IFERROR(VLOOKUP(Table92839495253542[[#This Row],[Course]],COURSELIST[],3,FALSE),""))</f>
        <v/>
      </c>
      <c r="AJ6" s="3" t="str">
        <f>IF(Table92839495253542[[#This Row],[Course]]= "","",IFERROR(VLOOKUP(Table92839495253542[[#This Row],[Course]],COURSELIST[],4,FALSE),""))</f>
        <v/>
      </c>
      <c r="AL6" s="3" t="str">
        <f>IF(Table92839495253542[[#This Row],[Course]]= "","",IFERROR(VLOOKUP(Table92839495253542[[#This Row],[Course]],COURSELIST[],6,FALSE),""))</f>
        <v/>
      </c>
      <c r="AM6" s="3" t="str">
        <f>IF(Table92839495253542[[#This Row],[Course]]= "","",IFERROR(VLOOKUP(Table92839495253542[[#This Row],[Course]],COURSELIST[],7,FALSE),""))</f>
        <v/>
      </c>
      <c r="AN6" s="3" t="str">
        <f>IF(Table92839495253542[[#This Row],[Course]]= "","",IFERROR(VLOOKUP(Table92839495253542[[#This Row],[Course]],COURSELIST[],8,FALSE),""))</f>
        <v/>
      </c>
    </row>
    <row r="7" spans="1:40" ht="15.75" outlineLevel="1" thickBot="1">
      <c r="B7" s="171"/>
      <c r="C7" s="17" t="s">
        <v>122</v>
      </c>
      <c r="D7" s="3" t="str">
        <f>IF(CSMINORFALL201336[[#This Row],[Course]]= "","",IFERROR(VLOOKUP(CSMINORFALL201336[[#This Row],[Course]],COURSELIST[],2,FALSE),"Course Not Found!"))</f>
        <v xml:space="preserve">Intro To Java </v>
      </c>
      <c r="E7" s="3" t="str">
        <f>IF(CSMINORFALL201336[[#This Row],[Course]]= "","",IFERROR(VLOOKUP(CSMINORFALL201336[[#This Row],[Course]],COURSELIST[],3,FALSE),""))</f>
        <v>IT</v>
      </c>
      <c r="F7" s="3">
        <f>IF(CSMINORFALL201336[[#This Row],[Course]]= "","",IFERROR(VLOOKUP(CSMINORFALL201336[[#This Row],[Course]],COURSELIST[],4,FALSE),""))</f>
        <v>3</v>
      </c>
      <c r="H7" s="3" t="str">
        <f>IF(CSMINORFALL201336[[#This Row],[Course]]= "","",IFERROR(VLOOKUP(CSMINORFALL201336[[#This Row],[Course]],COURSELIST[],6,FALSE),""))</f>
        <v>y</v>
      </c>
      <c r="I7" s="3" t="str">
        <f>IF(CSMINORFALL201336[[#This Row],[Course]]= "","",IFERROR(VLOOKUP(CSMINORFALL201336[[#This Row],[Course]],COURSELIST[],7,FALSE),""))</f>
        <v>y</v>
      </c>
      <c r="J7" s="3">
        <f>IF(CSMINORFALL201336[[#This Row],[Course]]= "","",IFERROR(VLOOKUP(CSMINORFALL201336[[#This Row],[Course]],COURSELIST[],8,FALSE),""))</f>
        <v>12</v>
      </c>
      <c r="L7" s="171"/>
      <c r="M7" s="17"/>
      <c r="N7" s="3" t="str">
        <f>IF(CSMINORWINTERIM201441[[#This Row],[Course]]= "","",IFERROR(VLOOKUP(CSMINORWINTERIM201441[[#This Row],[Course]],COURSELIST[],2,FALSE), "Class Not Found!"))</f>
        <v/>
      </c>
      <c r="O7" s="3" t="str">
        <f>IF(CSMINORWINTERIM201441[[#This Row],[Course]]= "","",IFERROR(VLOOKUP(CSMINORWINTERIM201441[[#This Row],[Course]],COURSELIST[],3,FALSE),""))</f>
        <v/>
      </c>
      <c r="P7" s="3" t="str">
        <f>IF(CSMINORWINTERIM201441[[#This Row],[Course]]= "","",IFERROR(VLOOKUP(CSMINORWINTERIM201441[[#This Row],[Course]],COURSELIST[],4,FALSE),""))</f>
        <v/>
      </c>
      <c r="R7" s="3" t="str">
        <f>IF(CSMINORWINTERIM201441[[#This Row],[Course]]= "","",IFERROR(VLOOKUP(CSMINORWINTERIM201441[[#This Row],[Course]],COURSELIST[],6,FALSE),""))</f>
        <v/>
      </c>
      <c r="S7" s="3" t="str">
        <f>IF(CSMINORWINTERIM201441[[#This Row],[Course]]= "","",IFERROR(VLOOKUP(CSMINORWINTERIM201441[[#This Row],[Course]],COURSELIST[],7,FALSE),""))</f>
        <v/>
      </c>
      <c r="T7" s="3" t="str">
        <f>IF(CSMINORWINTERIM201441[[#This Row],[Course]]= "","",IFERROR(VLOOKUP(CSMINORWINTERIM201441[[#This Row],[Course]],COURSELIST[],8,FALSE),""))</f>
        <v/>
      </c>
      <c r="V7" s="171"/>
      <c r="W7" s="26" t="s">
        <v>183</v>
      </c>
      <c r="X7" s="3" t="str">
        <f>IF(Table102940[[#This Row],[Course]]= "","",IFERROR(VLOOKUP(Table102940[[#This Row],[Course]],COURSELIST[],2,FALSE), "Class Not Found!"))</f>
        <v>Health</v>
      </c>
      <c r="Y7" s="3" t="str">
        <f>IF(Table102940[[#This Row],[Course]]= "","",IFERROR(VLOOKUP(Table102940[[#This Row],[Course]],COURSELIST[],3,FALSE),""))</f>
        <v>Both</v>
      </c>
      <c r="Z7" s="3">
        <f>IF(Table102940[[#This Row],[Course]]= "","",IFERROR(VLOOKUP(Table102940[[#This Row],[Course]],COURSELIST[],4,FALSE),""))</f>
        <v>1</v>
      </c>
      <c r="AB7" s="3" t="str">
        <f>IF(Table102940[[#This Row],[Course]]= "","",IFERROR(VLOOKUP(Table102940[[#This Row],[Course]],COURSELIST[],6,FALSE),""))</f>
        <v>y</v>
      </c>
      <c r="AC7" s="3" t="str">
        <f>IF(Table102940[[#This Row],[Course]]= "","",IFERROR(VLOOKUP(Table102940[[#This Row],[Course]],COURSELIST[],7,FALSE),""))</f>
        <v>y</v>
      </c>
      <c r="AD7" s="3">
        <f>IF(Table102940[[#This Row],[Course]]= "","",IFERROR(VLOOKUP(Table102940[[#This Row],[Course]],COURSELIST[],8,FALSE),""))</f>
        <v>2.6</v>
      </c>
      <c r="AF7" s="171"/>
      <c r="AG7" s="17"/>
      <c r="AH7" s="3" t="str">
        <f>IF(Table92839495253542[[#This Row],[Course]]= "","",IFERROR(VLOOKUP(Table92839495253542[[#This Row],[Course]],COURSELIST[],2,FALSE),"Course Not Found!"))</f>
        <v/>
      </c>
      <c r="AI7" s="3" t="str">
        <f>IF(Table92839495253542[[#This Row],[Course]]= "","",IFERROR(VLOOKUP(Table92839495253542[[#This Row],[Course]],COURSELIST[],3,FALSE),""))</f>
        <v/>
      </c>
      <c r="AJ7" s="3" t="str">
        <f>IF(Table92839495253542[[#This Row],[Course]]= "","",IFERROR(VLOOKUP(Table92839495253542[[#This Row],[Course]],COURSELIST[],4,FALSE),""))</f>
        <v/>
      </c>
      <c r="AL7" s="3" t="str">
        <f>IF(Table92839495253542[[#This Row],[Course]]= "","",IFERROR(VLOOKUP(Table92839495253542[[#This Row],[Course]],COURSELIST[],6,FALSE),""))</f>
        <v/>
      </c>
      <c r="AM7" s="3" t="str">
        <f>IF(Table92839495253542[[#This Row],[Course]]= "","",IFERROR(VLOOKUP(Table92839495253542[[#This Row],[Course]],COURSELIST[],7,FALSE),""))</f>
        <v/>
      </c>
      <c r="AN7" s="3" t="str">
        <f>IF(Table92839495253542[[#This Row],[Course]]= "","",IFERROR(VLOOKUP(Table92839495253542[[#This Row],[Course]],COURSELIST[],8,FALSE),""))</f>
        <v/>
      </c>
    </row>
    <row r="8" spans="1:40" ht="15.75" outlineLevel="1" thickBot="1">
      <c r="B8" s="171"/>
      <c r="C8" s="17" t="s">
        <v>125</v>
      </c>
      <c r="D8" s="3" t="str">
        <f>IF(CSMINORFALL201336[[#This Row],[Course]]= "","",IFERROR(VLOOKUP(CSMINORFALL201336[[#This Row],[Course]],COURSELIST[],2,FALSE),"Course Not Found!"))</f>
        <v>English 1</v>
      </c>
      <c r="E8" s="3" t="str">
        <f>IF(CSMINORFALL201336[[#This Row],[Course]]= "","",IFERROR(VLOOKUP(CSMINORFALL201336[[#This Row],[Course]],COURSELIST[],3,FALSE),""))</f>
        <v>Both</v>
      </c>
      <c r="F8" s="3">
        <f>IF(CSMINORFALL201336[[#This Row],[Course]]= "","",IFERROR(VLOOKUP(CSMINORFALL201336[[#This Row],[Course]],COURSELIST[],4,FALSE),""))</f>
        <v>3</v>
      </c>
      <c r="H8" s="3" t="str">
        <f>IF(CSMINORFALL201336[[#This Row],[Course]]= "","",IFERROR(VLOOKUP(CSMINORFALL201336[[#This Row],[Course]],COURSELIST[],6,FALSE),""))</f>
        <v>y</v>
      </c>
      <c r="I8" s="3" t="str">
        <f>IF(CSMINORFALL201336[[#This Row],[Course]]= "","",IFERROR(VLOOKUP(CSMINORFALL201336[[#This Row],[Course]],COURSELIST[],7,FALSE),""))</f>
        <v>y</v>
      </c>
      <c r="J8" s="3">
        <f>IF(CSMINORFALL201336[[#This Row],[Course]]= "","",IFERROR(VLOOKUP(CSMINORFALL201336[[#This Row],[Course]],COURSELIST[],8,FALSE),""))</f>
        <v>9</v>
      </c>
      <c r="L8" s="171"/>
      <c r="M8" s="17"/>
      <c r="N8" s="3" t="str">
        <f>IF(CSMINORWINTERIM201441[[#This Row],[Course]]= "","",IFERROR(VLOOKUP(CSMINORWINTERIM201441[[#This Row],[Course]],COURSELIST[],2,FALSE), "Class Not Found!"))</f>
        <v/>
      </c>
      <c r="O8" s="3" t="str">
        <f>IF(CSMINORWINTERIM201441[[#This Row],[Course]]= "","",IFERROR(VLOOKUP(CSMINORWINTERIM201441[[#This Row],[Course]],COURSELIST[],3,FALSE),""))</f>
        <v/>
      </c>
      <c r="P8" s="3" t="str">
        <f>IF(CSMINORWINTERIM201441[[#This Row],[Course]]= "","",IFERROR(VLOOKUP(CSMINORWINTERIM201441[[#This Row],[Course]],COURSELIST[],4,FALSE),""))</f>
        <v/>
      </c>
      <c r="R8" s="3" t="str">
        <f>IF(CSMINORWINTERIM201441[[#This Row],[Course]]= "","",IFERROR(VLOOKUP(CSMINORWINTERIM201441[[#This Row],[Course]],COURSELIST[],6,FALSE),""))</f>
        <v/>
      </c>
      <c r="S8" s="3" t="str">
        <f>IF(CSMINORWINTERIM201441[[#This Row],[Course]]= "","",IFERROR(VLOOKUP(CSMINORWINTERIM201441[[#This Row],[Course]],COURSELIST[],7,FALSE),""))</f>
        <v/>
      </c>
      <c r="T8" s="3" t="str">
        <f>IF(CSMINORWINTERIM201441[[#This Row],[Course]]= "","",IFERROR(VLOOKUP(CSMINORWINTERIM201441[[#This Row],[Course]],COURSELIST[],8,FALSE),""))</f>
        <v/>
      </c>
      <c r="V8" s="171"/>
      <c r="W8" s="26" t="s">
        <v>181</v>
      </c>
      <c r="X8" s="3" t="str">
        <f>IF(Table102940[[#This Row],[Course]]= "","",IFERROR(VLOOKUP(Table102940[[#This Row],[Course]],COURSELIST[],2,FALSE), "Class Not Found!"))</f>
        <v>Intro To Networking</v>
      </c>
      <c r="Y8" s="3" t="str">
        <f>IF(Table102940[[#This Row],[Course]]= "","",IFERROR(VLOOKUP(Table102940[[#This Row],[Course]],COURSELIST[],3,FALSE),""))</f>
        <v>IT</v>
      </c>
      <c r="Z8" s="3">
        <f>IF(Table102940[[#This Row],[Course]]= "","",IFERROR(VLOOKUP(Table102940[[#This Row],[Course]],COURSELIST[],4,FALSE),""))</f>
        <v>3</v>
      </c>
      <c r="AB8" s="3" t="str">
        <f>IF(Table102940[[#This Row],[Course]]= "","",IFERROR(VLOOKUP(Table102940[[#This Row],[Course]],COURSELIST[],6,FALSE),""))</f>
        <v>y</v>
      </c>
      <c r="AC8" s="3" t="str">
        <f>IF(Table102940[[#This Row],[Course]]= "","",IFERROR(VLOOKUP(Table102940[[#This Row],[Course]],COURSELIST[],7,FALSE),""))</f>
        <v>y</v>
      </c>
      <c r="AD8" s="3">
        <f>IF(Table102940[[#This Row],[Course]]= "","",IFERROR(VLOOKUP(Table102940[[#This Row],[Course]],COURSELIST[],8,FALSE),""))</f>
        <v>11</v>
      </c>
      <c r="AF8" s="171"/>
      <c r="AG8" s="26"/>
      <c r="AH8" s="3" t="str">
        <f>IF(Table92839495253542[[#This Row],[Course]]= "","",IFERROR(VLOOKUP(Table92839495253542[[#This Row],[Course]],COURSELIST[],2,FALSE),"Course Not Found!"))</f>
        <v/>
      </c>
      <c r="AI8" s="3" t="str">
        <f>IF(Table92839495253542[[#This Row],[Course]]= "","",IFERROR(VLOOKUP(Table92839495253542[[#This Row],[Course]],COURSELIST[],3,FALSE),""))</f>
        <v/>
      </c>
      <c r="AJ8" s="3" t="str">
        <f>IF(Table92839495253542[[#This Row],[Course]]= "","",IFERROR(VLOOKUP(Table92839495253542[[#This Row],[Course]],COURSELIST[],4,FALSE),""))</f>
        <v/>
      </c>
      <c r="AL8" s="3" t="str">
        <f>IF(Table92839495253542[[#This Row],[Course]]= "","",IFERROR(VLOOKUP(Table92839495253542[[#This Row],[Course]],COURSELIST[],6,FALSE),""))</f>
        <v/>
      </c>
      <c r="AM8" s="3" t="str">
        <f>IF(Table92839495253542[[#This Row],[Course]]= "","",IFERROR(VLOOKUP(Table92839495253542[[#This Row],[Course]],COURSELIST[],7,FALSE),""))</f>
        <v/>
      </c>
      <c r="AN8" s="3" t="str">
        <f>IF(Table92839495253542[[#This Row],[Course]]= "","",IFERROR(VLOOKUP(Table92839495253542[[#This Row],[Course]],COURSELIST[],8,FALSE),""))</f>
        <v/>
      </c>
    </row>
    <row r="9" spans="1:40" ht="15.75" outlineLevel="1" thickBot="1">
      <c r="B9" s="171"/>
      <c r="C9" s="26" t="s">
        <v>132</v>
      </c>
      <c r="D9" s="3" t="str">
        <f>IF(CSMINORFALL201336[[#This Row],[Course]]= "","",IFERROR(VLOOKUP(CSMINORFALL201336[[#This Row],[Course]],COURSELIST[],2,FALSE),"Course Not Found!"))</f>
        <v>New Student Seminar</v>
      </c>
      <c r="E9" s="3" t="str">
        <f>IF(CSMINORFALL201336[[#This Row],[Course]]= "","",IFERROR(VLOOKUP(CSMINORFALL201336[[#This Row],[Course]],COURSELIST[],3,FALSE),""))</f>
        <v>Both</v>
      </c>
      <c r="F9" s="3">
        <f>IF(CSMINORFALL201336[[#This Row],[Course]]= "","",IFERROR(VLOOKUP(CSMINORFALL201336[[#This Row],[Course]],COURSELIST[],4,FALSE),""))</f>
        <v>1</v>
      </c>
      <c r="H9" s="3" t="str">
        <f>IF(CSMINORFALL201336[[#This Row],[Course]]= "","",IFERROR(VLOOKUP(CSMINORFALL201336[[#This Row],[Course]],COURSELIST[],6,FALSE),""))</f>
        <v>y</v>
      </c>
      <c r="I9" s="3" t="str">
        <f>IF(CSMINORFALL201336[[#This Row],[Course]]= "","",IFERROR(VLOOKUP(CSMINORFALL201336[[#This Row],[Course]],COURSELIST[],7,FALSE),""))</f>
        <v>y</v>
      </c>
      <c r="J9" s="3">
        <f>IF(CSMINORFALL201336[[#This Row],[Course]]= "","",IFERROR(VLOOKUP(CSMINORFALL201336[[#This Row],[Course]],COURSELIST[],8,FALSE),""))</f>
        <v>4</v>
      </c>
      <c r="L9" s="171"/>
      <c r="M9" s="17"/>
      <c r="N9" s="3" t="str">
        <f>IF(CSMINORWINTERIM201441[[#This Row],[Course]]= "","",IFERROR(VLOOKUP(CSMINORWINTERIM201441[[#This Row],[Course]],COURSELIST[],2,FALSE), "Class Not Found!"))</f>
        <v/>
      </c>
      <c r="O9" s="3" t="str">
        <f>IF(CSMINORWINTERIM201441[[#This Row],[Course]]= "","",IFERROR(VLOOKUP(CSMINORWINTERIM201441[[#This Row],[Course]],COURSELIST[],3,FALSE),""))</f>
        <v/>
      </c>
      <c r="P9" s="3" t="str">
        <f>IF(CSMINORWINTERIM201441[[#This Row],[Course]]= "","",IFERROR(VLOOKUP(CSMINORWINTERIM201441[[#This Row],[Course]],COURSELIST[],4,FALSE),""))</f>
        <v/>
      </c>
      <c r="R9" s="3" t="str">
        <f>IF(CSMINORWINTERIM201441[[#This Row],[Course]]= "","",IFERROR(VLOOKUP(CSMINORWINTERIM201441[[#This Row],[Course]],COURSELIST[],6,FALSE),""))</f>
        <v/>
      </c>
      <c r="S9" s="3" t="str">
        <f>IF(CSMINORWINTERIM201441[[#This Row],[Course]]= "","",IFERROR(VLOOKUP(CSMINORWINTERIM201441[[#This Row],[Course]],COURSELIST[],7,FALSE),""))</f>
        <v/>
      </c>
      <c r="T9" s="3" t="str">
        <f>IF(CSMINORWINTERIM201441[[#This Row],[Course]]= "","",IFERROR(VLOOKUP(CSMINORWINTERIM201441[[#This Row],[Course]],COURSELIST[],8,FALSE),""))</f>
        <v/>
      </c>
      <c r="V9" s="171"/>
      <c r="W9" s="17"/>
      <c r="X9" s="3" t="str">
        <f>IF(Table102940[[#This Row],[Course]]= "","",IFERROR(VLOOKUP(Table102940[[#This Row],[Course]],COURSELIST[],2,FALSE), "Class Not Found!"))</f>
        <v/>
      </c>
      <c r="Y9" s="3" t="str">
        <f>IF(Table102940[[#This Row],[Course]]= "","",IFERROR(VLOOKUP(Table102940[[#This Row],[Course]],COURSELIST[],3,FALSE),""))</f>
        <v/>
      </c>
      <c r="Z9" s="3" t="str">
        <f>IF(Table102940[[#This Row],[Course]]= "","",IFERROR(VLOOKUP(Table102940[[#This Row],[Course]],COURSELIST[],4,FALSE),""))</f>
        <v/>
      </c>
      <c r="AB9" s="3" t="str">
        <f>IF(Table102940[[#This Row],[Course]]= "","",IFERROR(VLOOKUP(Table102940[[#This Row],[Course]],COURSELIST[],6,FALSE),""))</f>
        <v/>
      </c>
      <c r="AC9" s="3" t="str">
        <f>IF(Table102940[[#This Row],[Course]]= "","",IFERROR(VLOOKUP(Table102940[[#This Row],[Course]],COURSELIST[],7,FALSE),""))</f>
        <v/>
      </c>
      <c r="AD9" s="3" t="str">
        <f>IF(Table102940[[#This Row],[Course]]= "","",IFERROR(VLOOKUP(Table102940[[#This Row],[Course]],COURSELIST[],8,FALSE),""))</f>
        <v/>
      </c>
      <c r="AF9" s="171"/>
      <c r="AG9" s="26"/>
      <c r="AH9" s="3" t="str">
        <f>IF(Table92839495253542[[#This Row],[Course]]= "","",IFERROR(VLOOKUP(Table92839495253542[[#This Row],[Course]],COURSELIST[],2,FALSE),"Course Not Found!"))</f>
        <v/>
      </c>
      <c r="AI9" s="3" t="str">
        <f>IF(Table92839495253542[[#This Row],[Course]]= "","",IFERROR(VLOOKUP(Table92839495253542[[#This Row],[Course]],COURSELIST[],3,FALSE),""))</f>
        <v/>
      </c>
      <c r="AJ9" s="3" t="str">
        <f>IF(Table92839495253542[[#This Row],[Course]]= "","",IFERROR(VLOOKUP(Table92839495253542[[#This Row],[Course]],COURSELIST[],4,FALSE),""))</f>
        <v/>
      </c>
      <c r="AL9" s="3" t="str">
        <f>IF(Table92839495253542[[#This Row],[Course]]= "","",IFERROR(VLOOKUP(Table92839495253542[[#This Row],[Course]],COURSELIST[],6,FALSE),""))</f>
        <v/>
      </c>
      <c r="AM9" s="3" t="str">
        <f>IF(Table92839495253542[[#This Row],[Course]]= "","",IFERROR(VLOOKUP(Table92839495253542[[#This Row],[Course]],COURSELIST[],7,FALSE),""))</f>
        <v/>
      </c>
      <c r="AN9" s="3" t="str">
        <f>IF(Table92839495253542[[#This Row],[Course]]= "","",IFERROR(VLOOKUP(Table92839495253542[[#This Row],[Course]],COURSELIST[],8,FALSE),""))</f>
        <v/>
      </c>
    </row>
    <row r="10" spans="1:40" ht="15.75" outlineLevel="1" thickBot="1">
      <c r="B10" s="171"/>
      <c r="C10" s="26"/>
      <c r="D10" s="4" t="str">
        <f>IF(CSMINORFALL201336[[#This Row],[Course]]= "","",IFERROR(VLOOKUP(CSMINORFALL201336[[#This Row],[Course]],COURSELIST[],2,FALSE),"Course Not Found!"))</f>
        <v/>
      </c>
      <c r="E10" s="4" t="str">
        <f>IF(CSMINORFALL201336[[#This Row],[Course]]= "","",IFERROR(VLOOKUP(CSMINORFALL201336[[#This Row],[Course]],COURSELIST[],3,FALSE),""))</f>
        <v/>
      </c>
      <c r="F10" s="4" t="str">
        <f>IF(CSMINORFALL201336[[#This Row],[Course]]= "","",IFERROR(VLOOKUP(CSMINORFALL201336[[#This Row],[Course]],COURSELIST[],4,FALSE),""))</f>
        <v/>
      </c>
      <c r="G10" s="4"/>
      <c r="H10" s="4" t="str">
        <f>IF(CSMINORFALL201336[[#This Row],[Course]]= "","",IFERROR(VLOOKUP(CSMINORFALL201336[[#This Row],[Course]],COURSELIST[],6,FALSE),""))</f>
        <v/>
      </c>
      <c r="I10" s="4" t="str">
        <f>IF(CSMINORFALL201336[[#This Row],[Course]]= "","",IFERROR(VLOOKUP(CSMINORFALL201336[[#This Row],[Course]],COURSELIST[],7,FALSE),""))</f>
        <v/>
      </c>
      <c r="J10" s="4" t="str">
        <f>IF(CSMINORFALL201336[[#This Row],[Course]]= "","",IFERROR(VLOOKUP(CSMINORFALL201336[[#This Row],[Course]],COURSELIST[],8,FALSE),""))</f>
        <v/>
      </c>
      <c r="L10" s="171"/>
      <c r="M10" s="17"/>
      <c r="N10" s="4" t="str">
        <f>IF(CSMINORWINTERIM201441[[#This Row],[Course]]= "","",IFERROR(VLOOKUP(CSMINORWINTERIM201441[[#This Row],[Course]],COURSELIST[],2,FALSE), "Class Not Found!"))</f>
        <v/>
      </c>
      <c r="O10" s="4" t="str">
        <f>IF(CSMINORWINTERIM201441[[#This Row],[Course]]= "","",IFERROR(VLOOKUP(CSMINORWINTERIM201441[[#This Row],[Course]],COURSELIST[],3,FALSE),""))</f>
        <v/>
      </c>
      <c r="P10" s="4" t="str">
        <f>IF(CSMINORWINTERIM201441[[#This Row],[Course]]= "","",IFERROR(VLOOKUP(CSMINORWINTERIM201441[[#This Row],[Course]],COURSELIST[],4,FALSE),""))</f>
        <v/>
      </c>
      <c r="Q10" s="4"/>
      <c r="R10" s="4" t="str">
        <f>IF(CSMINORWINTERIM201441[[#This Row],[Course]]= "","",IFERROR(VLOOKUP(CSMINORWINTERIM201441[[#This Row],[Course]],COURSELIST[],6,FALSE),""))</f>
        <v/>
      </c>
      <c r="S10" s="4" t="str">
        <f>IF(CSMINORWINTERIM201441[[#This Row],[Course]]= "","",IFERROR(VLOOKUP(CSMINORWINTERIM201441[[#This Row],[Course]],COURSELIST[],7,FALSE),""))</f>
        <v/>
      </c>
      <c r="T10" s="4" t="str">
        <f>IF(CSMINORWINTERIM201441[[#This Row],[Course]]= "","",IFERROR(VLOOKUP(CSMINORWINTERIM201441[[#This Row],[Course]],COURSELIST[],8,FALSE),""))</f>
        <v/>
      </c>
      <c r="V10" s="171"/>
      <c r="W10" s="17"/>
      <c r="X10" s="3" t="str">
        <f>IF(Table102940[[#This Row],[Course]]= "","",IFERROR(VLOOKUP(Table102940[[#This Row],[Course]],COURSELIST[],2,FALSE), "Class Not Found!"))</f>
        <v/>
      </c>
      <c r="Y10" s="3" t="str">
        <f>IF(Table102940[[#This Row],[Course]]= "","",IFERROR(VLOOKUP(Table102940[[#This Row],[Course]],COURSELIST[],3,FALSE),""))</f>
        <v/>
      </c>
      <c r="Z10" s="4" t="str">
        <f>IF(Table102940[[#This Row],[Course]]= "","",IFERROR(VLOOKUP(Table102940[[#This Row],[Course]],COURSELIST[],4,FALSE),""))</f>
        <v/>
      </c>
      <c r="AA10" s="4"/>
      <c r="AB10" s="4" t="str">
        <f>IF(Table102940[[#This Row],[Course]]= "","",IFERROR(VLOOKUP(Table102940[[#This Row],[Course]],COURSELIST[],6,FALSE),""))</f>
        <v/>
      </c>
      <c r="AC10" s="4" t="str">
        <f>IF(Table102940[[#This Row],[Course]]= "","",IFERROR(VLOOKUP(Table102940[[#This Row],[Course]],COURSELIST[],7,FALSE),""))</f>
        <v/>
      </c>
      <c r="AD10" s="4" t="str">
        <f>IF(Table102940[[#This Row],[Course]]= "","",IFERROR(VLOOKUP(Table102940[[#This Row],[Course]],COURSELIST[],8,FALSE),""))</f>
        <v/>
      </c>
      <c r="AF10" s="171"/>
      <c r="AG10" s="29"/>
      <c r="AH10" s="3" t="str">
        <f>IF(Table92839495253542[[#This Row],[Course]]= "","",IFERROR(VLOOKUP(Table92839495253542[[#This Row],[Course]],COURSELIST[],2,FALSE),"Course Not Found!"))</f>
        <v/>
      </c>
      <c r="AI10" s="3" t="str">
        <f>IF(Table92839495253542[[#This Row],[Course]]= "","",IFERROR(VLOOKUP(Table92839495253542[[#This Row],[Course]],COURSELIST[],3,FALSE),""))</f>
        <v/>
      </c>
      <c r="AJ10" s="3" t="str">
        <f>IF(Table92839495253542[[#This Row],[Course]]= "","",IFERROR(VLOOKUP(Table92839495253542[[#This Row],[Course]],COURSELIST[],4,FALSE),""))</f>
        <v/>
      </c>
      <c r="AL10" s="3" t="str">
        <f>IF(Table92839495253542[[#This Row],[Course]]= "","",IFERROR(VLOOKUP(Table92839495253542[[#This Row],[Course]],COURSELIST[],6,FALSE),""))</f>
        <v/>
      </c>
      <c r="AM10" s="3" t="str">
        <f>IF(Table92839495253542[[#This Row],[Course]]= "","",IFERROR(VLOOKUP(Table92839495253542[[#This Row],[Course]],COURSELIST[],7,FALSE),""))</f>
        <v/>
      </c>
      <c r="AN10" s="3" t="str">
        <f>IF(Table92839495253542[[#This Row],[Course]]= "","",IFERROR(VLOOKUP(Table92839495253542[[#This Row],[Course]],COURSELIST[],8,FALSE),""))</f>
        <v/>
      </c>
    </row>
    <row r="11" spans="1:40" s="5" customFormat="1" outlineLevel="1">
      <c r="C11" s="3"/>
      <c r="D11" s="3"/>
      <c r="E11" s="3" t="s">
        <v>10</v>
      </c>
      <c r="F11" s="3">
        <f>SUM(F4:F9)</f>
        <v>16</v>
      </c>
      <c r="G11" s="3"/>
      <c r="H11" s="3"/>
      <c r="I11" s="3" t="s">
        <v>27</v>
      </c>
      <c r="J11" s="3">
        <f>SUM(J4:J10)</f>
        <v>55</v>
      </c>
      <c r="M11" s="3"/>
      <c r="N11" s="3"/>
      <c r="O11" s="3" t="s">
        <v>10</v>
      </c>
      <c r="P11" s="3">
        <f>SUM(P4:P10)</f>
        <v>3</v>
      </c>
      <c r="Q11" s="3"/>
      <c r="R11" s="3"/>
      <c r="S11" s="3" t="s">
        <v>27</v>
      </c>
      <c r="T11" s="3">
        <f>SUM(T4:T10)</f>
        <v>12</v>
      </c>
      <c r="W11" s="3"/>
      <c r="X11" s="3"/>
      <c r="Y11" s="3" t="s">
        <v>10</v>
      </c>
      <c r="Z11" s="3">
        <f>SUM(Z4:Z10)</f>
        <v>14</v>
      </c>
      <c r="AA11" s="3"/>
      <c r="AB11" s="3"/>
      <c r="AC11" s="3" t="s">
        <v>27</v>
      </c>
      <c r="AD11" s="3">
        <f>SUM(AD4:AD10)</f>
        <v>48.6</v>
      </c>
      <c r="AG11" s="3"/>
      <c r="AH11" s="3"/>
      <c r="AI11" s="3" t="s">
        <v>10</v>
      </c>
      <c r="AJ11" s="3">
        <f>SUM(AJ4:AJ10)</f>
        <v>0</v>
      </c>
      <c r="AK11" s="3"/>
      <c r="AL11" s="3"/>
      <c r="AM11" s="3" t="s">
        <v>27</v>
      </c>
      <c r="AN11" s="3">
        <f>SUM(AN4:AN10)</f>
        <v>0</v>
      </c>
    </row>
    <row r="12" spans="1:40" outlineLevel="1">
      <c r="E12" s="3" t="s">
        <v>18</v>
      </c>
      <c r="F12" s="3">
        <f>F11+StartingCredits</f>
        <v>27</v>
      </c>
      <c r="G12" s="5"/>
      <c r="I12" s="3" t="s">
        <v>17</v>
      </c>
      <c r="J12" s="3">
        <f>J11</f>
        <v>55</v>
      </c>
      <c r="O12" s="3" t="s">
        <v>18</v>
      </c>
      <c r="P12" s="3">
        <f>F12+P11</f>
        <v>30</v>
      </c>
      <c r="R12" s="5"/>
      <c r="S12" s="3" t="s">
        <v>17</v>
      </c>
      <c r="T12" s="3">
        <f>T11+J12</f>
        <v>67</v>
      </c>
      <c r="Y12" s="3" t="s">
        <v>18</v>
      </c>
      <c r="Z12" s="3">
        <f>Z11+P12</f>
        <v>44</v>
      </c>
      <c r="AB12" s="5"/>
      <c r="AC12" s="3" t="s">
        <v>17</v>
      </c>
      <c r="AD12" s="3">
        <f>AD11+T12</f>
        <v>115.6</v>
      </c>
      <c r="AI12" s="3" t="s">
        <v>18</v>
      </c>
      <c r="AJ12" s="3">
        <f>AJ11+Z12</f>
        <v>44</v>
      </c>
      <c r="AM12" s="3" t="s">
        <v>17</v>
      </c>
      <c r="AN12" s="3">
        <f>AN11+AD12</f>
        <v>115.6</v>
      </c>
    </row>
    <row r="13" spans="1:40" outlineLevel="1">
      <c r="C13" s="5"/>
      <c r="D13" s="5"/>
      <c r="E13" s="5" t="s">
        <v>19</v>
      </c>
      <c r="F13" s="5">
        <f>F11</f>
        <v>16</v>
      </c>
      <c r="H13" s="5"/>
      <c r="I13" s="3" t="s">
        <v>14</v>
      </c>
      <c r="J13" s="3">
        <f>J11/F11</f>
        <v>3.4375</v>
      </c>
      <c r="M13" s="5"/>
      <c r="N13" s="5"/>
      <c r="O13" s="5" t="s">
        <v>19</v>
      </c>
      <c r="P13" s="5">
        <f>P11+F13</f>
        <v>19</v>
      </c>
      <c r="Q13" s="5"/>
      <c r="S13" s="3" t="s">
        <v>14</v>
      </c>
      <c r="T13" s="3">
        <f>T11/P11</f>
        <v>4</v>
      </c>
      <c r="W13" s="5"/>
      <c r="X13" s="5"/>
      <c r="Y13" s="5" t="s">
        <v>19</v>
      </c>
      <c r="Z13" s="5">
        <f>Z11+P13</f>
        <v>33</v>
      </c>
      <c r="AA13" s="5"/>
      <c r="AC13" s="3" t="s">
        <v>14</v>
      </c>
      <c r="AD13" s="3">
        <f>AD11/Z11</f>
        <v>3.4714285714285715</v>
      </c>
      <c r="AG13" s="5"/>
      <c r="AH13" s="5"/>
      <c r="AI13" s="5" t="s">
        <v>19</v>
      </c>
      <c r="AJ13" s="5">
        <f>AJ11+Z13</f>
        <v>33</v>
      </c>
      <c r="AK13" s="5"/>
      <c r="AM13" s="3" t="s">
        <v>14</v>
      </c>
      <c r="AN13" s="3" t="e">
        <f>AN11/AJ11</f>
        <v>#DIV/0!</v>
      </c>
    </row>
    <row r="14" spans="1:40" outlineLevel="1">
      <c r="I14" s="5" t="s">
        <v>16</v>
      </c>
      <c r="J14" s="5">
        <f>J12/F13</f>
        <v>3.4375</v>
      </c>
      <c r="K14" s="5"/>
      <c r="L14" s="5"/>
      <c r="S14" s="5" t="s">
        <v>16</v>
      </c>
      <c r="T14" s="5">
        <f>T12/P13</f>
        <v>3.5263157894736841</v>
      </c>
      <c r="U14" s="5"/>
      <c r="V14" s="5"/>
      <c r="AC14" s="5" t="s">
        <v>16</v>
      </c>
      <c r="AD14" s="5">
        <f>AD12/Z13</f>
        <v>3.5030303030303029</v>
      </c>
      <c r="AM14" s="5" t="s">
        <v>16</v>
      </c>
      <c r="AN14" s="5">
        <f>AN12/AJ13</f>
        <v>3.5030303030303029</v>
      </c>
    </row>
    <row r="15" spans="1:40" ht="15.75" outlineLevel="1" thickBot="1">
      <c r="I15" s="5"/>
      <c r="J15" s="5"/>
      <c r="K15" s="5"/>
      <c r="L15" s="5"/>
      <c r="S15" s="5"/>
      <c r="T15" s="5"/>
      <c r="U15" s="5"/>
      <c r="V15" s="5"/>
      <c r="AC15" s="5"/>
      <c r="AD15" s="5"/>
      <c r="AM15" s="5"/>
      <c r="AN15" s="5"/>
    </row>
    <row r="16" spans="1:40" s="24" customFormat="1" ht="21.75" thickBot="1">
      <c r="A16" s="96" t="s">
        <v>89</v>
      </c>
      <c r="D16" s="93"/>
      <c r="E16" s="3"/>
      <c r="F16" s="3"/>
      <c r="G16" s="3"/>
      <c r="H16" s="3"/>
      <c r="I16" s="3"/>
      <c r="J16" s="5"/>
      <c r="M16" s="3"/>
      <c r="N16" s="3"/>
      <c r="O16" s="3"/>
      <c r="P16" s="3"/>
      <c r="Q16" s="3"/>
      <c r="R16" s="3"/>
      <c r="S16" s="3"/>
      <c r="T16" s="5"/>
      <c r="W16" s="3"/>
      <c r="X16" s="3"/>
      <c r="Y16" s="3"/>
      <c r="Z16" s="3"/>
      <c r="AA16" s="3"/>
      <c r="AB16" s="3"/>
      <c r="AC16" s="3"/>
      <c r="AD16" s="3"/>
    </row>
    <row r="17" spans="1:41" ht="23.25" customHeight="1" outlineLevel="1" thickBot="1">
      <c r="B17" s="171" t="s">
        <v>607</v>
      </c>
      <c r="C17" s="179" t="s">
        <v>0</v>
      </c>
      <c r="D17" s="180"/>
      <c r="E17" s="181"/>
      <c r="F17" s="164" t="str">
        <f>GradeStatus(Z12)&amp;"--"&amp;Z12&amp;" Credits "&amp;F27&amp;" In Progress"</f>
        <v>Sophomore--44 Credits 59 In Progress</v>
      </c>
      <c r="G17" s="165"/>
      <c r="H17" s="165"/>
      <c r="I17" s="165"/>
      <c r="J17" s="165"/>
      <c r="L17" s="171" t="s">
        <v>94</v>
      </c>
      <c r="M17" s="175" t="s">
        <v>29</v>
      </c>
      <c r="N17" s="176"/>
      <c r="O17" s="177"/>
      <c r="P17" s="166" t="str">
        <f>GradeStatus(F27)&amp;"--"&amp;F27&amp;" Credits "&amp;P27&amp;" In Progress"</f>
        <v>Junior--59 Credits 59 In Progress</v>
      </c>
      <c r="Q17" s="167"/>
      <c r="R17" s="167"/>
      <c r="S17" s="167"/>
      <c r="T17" s="167"/>
      <c r="V17" s="171" t="s">
        <v>95</v>
      </c>
      <c r="W17" s="168" t="s">
        <v>3</v>
      </c>
      <c r="X17" s="169"/>
      <c r="Y17" s="170"/>
      <c r="Z17" s="162" t="str">
        <f>GradeStatus(P27)&amp;"--"&amp;P27&amp;" Credits "&amp;Z27&amp;" In Progress"</f>
        <v>Junior--59 Credits 74 In Progress</v>
      </c>
      <c r="AA17" s="163"/>
      <c r="AB17" s="163"/>
      <c r="AC17" s="163"/>
      <c r="AD17" s="163"/>
      <c r="AF17" s="171" t="s">
        <v>96</v>
      </c>
      <c r="AG17" s="172" t="s">
        <v>58</v>
      </c>
      <c r="AH17" s="173"/>
      <c r="AI17" s="174"/>
      <c r="AJ17" s="160" t="str">
        <f>GradeStatus(Z27)&amp;"--"&amp;Z27&amp;" Credits "&amp;AJ27&amp;" In Progress"</f>
        <v>Junior--74 Credits 83 In Progress</v>
      </c>
      <c r="AK17" s="161"/>
      <c r="AL17" s="161"/>
      <c r="AM17" s="161"/>
      <c r="AN17" s="161"/>
    </row>
    <row r="18" spans="1:41" ht="15.75" outlineLevel="1" thickBot="1">
      <c r="B18" s="171"/>
      <c r="C18" s="3" t="s">
        <v>20</v>
      </c>
      <c r="D18" s="3" t="s">
        <v>24</v>
      </c>
      <c r="E18" s="3" t="s">
        <v>25</v>
      </c>
      <c r="F18" s="3" t="s">
        <v>10</v>
      </c>
      <c r="G18" s="3" t="s">
        <v>26</v>
      </c>
      <c r="H18" s="3" t="s">
        <v>12</v>
      </c>
      <c r="I18" s="3" t="s">
        <v>36</v>
      </c>
      <c r="J18" s="3" t="s">
        <v>28</v>
      </c>
      <c r="L18" s="171"/>
      <c r="M18" s="3" t="s">
        <v>20</v>
      </c>
      <c r="N18" s="3" t="s">
        <v>24</v>
      </c>
      <c r="O18" s="3" t="s">
        <v>25</v>
      </c>
      <c r="P18" s="3" t="s">
        <v>10</v>
      </c>
      <c r="Q18" s="3" t="s">
        <v>26</v>
      </c>
      <c r="R18" s="3" t="s">
        <v>12</v>
      </c>
      <c r="S18" s="3" t="s">
        <v>36</v>
      </c>
      <c r="T18" s="3" t="s">
        <v>28</v>
      </c>
      <c r="V18" s="171"/>
      <c r="W18" s="3" t="s">
        <v>20</v>
      </c>
      <c r="X18" s="3" t="s">
        <v>24</v>
      </c>
      <c r="Y18" s="3" t="s">
        <v>25</v>
      </c>
      <c r="Z18" s="3" t="s">
        <v>10</v>
      </c>
      <c r="AA18" s="3" t="s">
        <v>26</v>
      </c>
      <c r="AB18" s="3" t="s">
        <v>12</v>
      </c>
      <c r="AC18" s="3" t="s">
        <v>36</v>
      </c>
      <c r="AD18" s="3" t="s">
        <v>28</v>
      </c>
      <c r="AF18" s="171"/>
      <c r="AG18" s="3" t="s">
        <v>20</v>
      </c>
      <c r="AH18" s="3" t="s">
        <v>24</v>
      </c>
      <c r="AI18" s="3" t="s">
        <v>25</v>
      </c>
      <c r="AJ18" s="3" t="s">
        <v>10</v>
      </c>
      <c r="AK18" s="3" t="s">
        <v>26</v>
      </c>
      <c r="AL18" s="3" t="s">
        <v>12</v>
      </c>
      <c r="AM18" s="3" t="s">
        <v>36</v>
      </c>
      <c r="AN18" s="3" t="s">
        <v>28</v>
      </c>
    </row>
    <row r="19" spans="1:41" ht="15.75" outlineLevel="1" thickBot="1">
      <c r="B19" s="171"/>
      <c r="C19" s="26" t="s">
        <v>146</v>
      </c>
      <c r="D19" s="3" t="str">
        <f>IF(Table52435[[#This Row],[Course]]= "","",IFERROR(VLOOKUP(Table52435[[#This Row],[Course]],COURSELIST[],2,FALSE),"Course Not Found!"))</f>
        <v>Discrete Mathmatics  3 out of 11 elective units</v>
      </c>
      <c r="E19" s="3" t="str">
        <f>IF(Table52435[[#This Row],[Course]]= "","",IFERROR(VLOOKUP(Table52435[[#This Row],[Course]],COURSELIST[],3,FALSE),""))</f>
        <v>CompSci</v>
      </c>
      <c r="F19" s="3">
        <f>IF(Table52435[[#This Row],[Course]]= "","",IFERROR(VLOOKUP(Table52435[[#This Row],[Course]],COURSELIST[],4,FALSE),""))</f>
        <v>3</v>
      </c>
      <c r="H19" s="3" t="str">
        <f>IF(Table52435[[#This Row],[Course]]= "","",IFERROR(VLOOKUP(Table52435[[#This Row],[Course]],COURSELIST[],6,FALSE),""))</f>
        <v>y</v>
      </c>
      <c r="I19" s="3" t="str">
        <f>IF(Table52435[[#This Row],[Course]]= "","",IFERROR(VLOOKUP(Table52435[[#This Row],[Course]],COURSELIST[],7,FALSE),""))</f>
        <v>y</v>
      </c>
      <c r="J19" s="3">
        <f>IF(Table52435[[#This Row],[Course]]= "","",IFERROR(VLOOKUP(Table52435[[#This Row],[Course]],COURSELIST[],8,FALSE),""))</f>
        <v>3</v>
      </c>
      <c r="L19" s="171"/>
      <c r="M19" s="17"/>
      <c r="N19" s="3" t="str">
        <f>IF(Table123142[[#This Row],[Course]]= "","",IFERROR(VLOOKUP(Table123142[[#This Row],[Course]],COURSELIST[],2,FALSE),"Course Not Found!"))</f>
        <v/>
      </c>
      <c r="O19" s="3" t="str">
        <f>IF(Table123142[[#This Row],[Course]]= "","",IFERROR(VLOOKUP(Table123142[[#This Row],[Course]],COURSELIST[],3,FALSE),""))</f>
        <v/>
      </c>
      <c r="P19" s="3" t="str">
        <f>IF(Table123142[[#This Row],[Course]]= "","",IFERROR(VLOOKUP(Table123142[[#This Row],[Course]],COURSELIST[],4,FALSE),""))</f>
        <v/>
      </c>
      <c r="R19" s="3" t="str">
        <f>IF(Table123142[[#This Row],[Course]]= "","",IFERROR(VLOOKUP(Table123142[[#This Row],[Course]],COURSELIST[],6,FALSE),""))</f>
        <v/>
      </c>
      <c r="S19" s="3" t="str">
        <f>IF(Table123142[[#This Row],[Course]]= "","",IFERROR(VLOOKUP(Table123142[[#This Row],[Course]],COURSELIST[],7,FALSE),""))</f>
        <v/>
      </c>
      <c r="T19" s="3" t="str">
        <f>IF(Table123142[[#This Row],[Course]]= "","",IFERROR(VLOOKUP(Table123142[[#This Row],[Course]],COURSELIST[],8,FALSE),""))</f>
        <v/>
      </c>
      <c r="V19" s="171"/>
      <c r="W19" s="17" t="s">
        <v>188</v>
      </c>
      <c r="X19" s="3" t="str">
        <f>IF(Table72637[[#This Row],[Course]]= "","",IFERROR(VLOOKUP(Table72637[[#This Row],[Course]],COURSELIST[],2,FALSE),"Course Not Found!"))</f>
        <v>Data Structures</v>
      </c>
      <c r="Y19" s="3" t="str">
        <f>IF(Table72637[[#This Row],[Course]]= "","",IFERROR(VLOOKUP(Table72637[[#This Row],[Course]],COURSELIST[],3,FALSE),""))</f>
        <v>CompSci</v>
      </c>
      <c r="Z19" s="3">
        <f>IF(Table72637[[#This Row],[Course]]= "","",IFERROR(VLOOKUP(Table72637[[#This Row],[Course]],COURSELIST[],4,FALSE),""))</f>
        <v>3</v>
      </c>
      <c r="AB19" s="3" t="str">
        <f>IF(Table72637[[#This Row],[Course]]= "","",IFERROR(VLOOKUP(Table72637[[#This Row],[Course]],COURSELIST[],6,FALSE),""))</f>
        <v>y</v>
      </c>
      <c r="AC19" s="3" t="str">
        <f>IF(Table72637[[#This Row],[Course]]= "","",IFERROR(VLOOKUP(Table72637[[#This Row],[Course]],COURSELIST[],7,FALSE),""))</f>
        <v>y</v>
      </c>
      <c r="AD19" s="4">
        <f>IF(Table72637[[#This Row],[Course]]= "","",IFERROR(VLOOKUP(Table72637[[#This Row],[Course]],COURSELIST[],8,FALSE),""))</f>
        <v>12</v>
      </c>
      <c r="AF19" s="171"/>
      <c r="AG19" s="1" t="s">
        <v>232</v>
      </c>
      <c r="AH19" s="3" t="str">
        <f>IF(Table9283949525354[[#This Row],[Course]]= "","",IFERROR(VLOOKUP(Table9283949525354[[#This Row],[Course]],COURSELIST[],2,FALSE),"Course Not Found!"))</f>
        <v>SW15 World of Ideas</v>
      </c>
      <c r="AI19" s="3" t="str">
        <f>IF(Table9283949525354[[#This Row],[Course]]= "","",IFERROR(VLOOKUP(Table9283949525354[[#This Row],[Course]],COURSELIST[],3,FALSE),""))</f>
        <v>Both</v>
      </c>
      <c r="AJ19" s="3">
        <f>IF(Table9283949525354[[#This Row],[Course]]= "","",IFERROR(VLOOKUP(Table9283949525354[[#This Row],[Course]],COURSELIST[],4,FALSE),""))</f>
        <v>3</v>
      </c>
      <c r="AL19" s="3" t="str">
        <f>IF(Table9283949525354[[#This Row],[Course]]= "","",IFERROR(VLOOKUP(Table9283949525354[[#This Row],[Course]],COURSELIST[],6,FALSE),""))</f>
        <v>y</v>
      </c>
      <c r="AM19" s="3" t="str">
        <f>IF(Table9283949525354[[#This Row],[Course]]= "","",IFERROR(VLOOKUP(Table9283949525354[[#This Row],[Course]],COURSELIST[],7,FALSE),""))</f>
        <v>y</v>
      </c>
      <c r="AN19" s="3">
        <f>IF(Table9283949525354[[#This Row],[Course]]= "","",IFERROR(VLOOKUP(Table9283949525354[[#This Row],[Course]],COURSELIST[],8,FALSE),""))</f>
        <v>12</v>
      </c>
    </row>
    <row r="20" spans="1:41" ht="15.75" outlineLevel="1" thickBot="1">
      <c r="B20" s="171"/>
      <c r="C20" s="26" t="s">
        <v>144</v>
      </c>
      <c r="D20" s="3" t="str">
        <f>IF(Table52435[[#This Row],[Course]]= "","",IFERROR(VLOOKUP(Table52435[[#This Row],[Course]],COURSELIST[],2,FALSE),"Course Not Found!"))</f>
        <v>Excel/Access</v>
      </c>
      <c r="E20" s="3" t="str">
        <f>IF(Table52435[[#This Row],[Course]]= "","",IFERROR(VLOOKUP(Table52435[[#This Row],[Course]],COURSELIST[],3,FALSE),""))</f>
        <v>IT</v>
      </c>
      <c r="F20" s="3">
        <f>IF(Table52435[[#This Row],[Course]]= "","",IFERROR(VLOOKUP(Table52435[[#This Row],[Course]],COURSELIST[],4,FALSE),""))</f>
        <v>3</v>
      </c>
      <c r="H20" s="3" t="str">
        <f>IF(Table52435[[#This Row],[Course]]= "","",IFERROR(VLOOKUP(Table52435[[#This Row],[Course]],COURSELIST[],6,FALSE),""))</f>
        <v>y</v>
      </c>
      <c r="I20" s="3" t="str">
        <f>IF(Table52435[[#This Row],[Course]]= "","",IFERROR(VLOOKUP(Table52435[[#This Row],[Course]],COURSELIST[],7,FALSE),""))</f>
        <v>y</v>
      </c>
      <c r="J20" s="3">
        <f>IF(Table52435[[#This Row],[Course]]= "","",IFERROR(VLOOKUP(Table52435[[#This Row],[Course]],COURSELIST[],8,FALSE),""))</f>
        <v>12</v>
      </c>
      <c r="L20" s="171"/>
      <c r="M20" s="17"/>
      <c r="N20" s="3" t="str">
        <f>IF(Table123142[[#This Row],[Course]]= "","",IFERROR(VLOOKUP(Table123142[[#This Row],[Course]],COURSELIST[],2,FALSE),"Course Not Found!"))</f>
        <v/>
      </c>
      <c r="O20" s="3" t="str">
        <f>IF(Table123142[[#This Row],[Course]]= "","",IFERROR(VLOOKUP(Table123142[[#This Row],[Course]],COURSELIST[],3,FALSE),""))</f>
        <v/>
      </c>
      <c r="P20" s="3" t="str">
        <f>IF(Table123142[[#This Row],[Course]]= "","",IFERROR(VLOOKUP(Table123142[[#This Row],[Course]],COURSELIST[],4,FALSE),""))</f>
        <v/>
      </c>
      <c r="R20" s="3" t="str">
        <f>IF(Table123142[[#This Row],[Course]]= "","",IFERROR(VLOOKUP(Table123142[[#This Row],[Course]],COURSELIST[],6,FALSE),""))</f>
        <v/>
      </c>
      <c r="S20" s="3" t="str">
        <f>IF(Table123142[[#This Row],[Course]]= "","",IFERROR(VLOOKUP(Table123142[[#This Row],[Course]],COURSELIST[],7,FALSE),""))</f>
        <v/>
      </c>
      <c r="T20" s="3" t="str">
        <f>IF(Table123142[[#This Row],[Course]]= "","",IFERROR(VLOOKUP(Table123142[[#This Row],[Course]],COURSELIST[],8,FALSE),""))</f>
        <v/>
      </c>
      <c r="V20" s="171"/>
      <c r="W20" s="26" t="s">
        <v>190</v>
      </c>
      <c r="X20" s="3" t="str">
        <f>IF(Table72637[[#This Row],[Course]]= "","",IFERROR(VLOOKUP(Table72637[[#This Row],[Course]],COURSELIST[],2,FALSE),"Course Not Found!"))</f>
        <v>Assembly Programming</v>
      </c>
      <c r="Y20" s="3" t="str">
        <f>IF(Table72637[[#This Row],[Course]]= "","",IFERROR(VLOOKUP(Table72637[[#This Row],[Course]],COURSELIST[],3,FALSE),""))</f>
        <v>CompSci</v>
      </c>
      <c r="Z20" s="3">
        <f>IF(Table72637[[#This Row],[Course]]= "","",IFERROR(VLOOKUP(Table72637[[#This Row],[Course]],COURSELIST[],4,FALSE),""))</f>
        <v>3</v>
      </c>
      <c r="AB20" s="3" t="str">
        <f>IF(Table72637[[#This Row],[Course]]= "","",IFERROR(VLOOKUP(Table72637[[#This Row],[Course]],COURSELIST[],6,FALSE),""))</f>
        <v>y</v>
      </c>
      <c r="AC20" s="3" t="str">
        <f>IF(Table72637[[#This Row],[Course]]= "","",IFERROR(VLOOKUP(Table72637[[#This Row],[Course]],COURSELIST[],7,FALSE),""))</f>
        <v>y</v>
      </c>
      <c r="AD20" s="4">
        <f>IF(Table72637[[#This Row],[Course]]= "","",IFERROR(VLOOKUP(Table72637[[#This Row],[Course]],COURSELIST[],8,FALSE),""))</f>
        <v>11</v>
      </c>
      <c r="AF20" s="171"/>
      <c r="AG20" s="99" t="s">
        <v>222</v>
      </c>
      <c r="AH20" s="3" t="str">
        <f>IF(Table9283949525354[[#This Row],[Course]]= "","",IFERROR(VLOOKUP(Table9283949525354[[#This Row],[Course]],COURSELIST[],2,FALSE),"Course Not Found!"))</f>
        <v>S15  Or English 372</v>
      </c>
      <c r="AI20" s="3" t="str">
        <f>IF(Table9283949525354[[#This Row],[Course]]= "","",IFERROR(VLOOKUP(Table9283949525354[[#This Row],[Course]],COURSELIST[],3,FALSE),""))</f>
        <v>CompSci</v>
      </c>
      <c r="AJ20" s="3">
        <f>IF(Table9283949525354[[#This Row],[Course]]= "","",IFERROR(VLOOKUP(Table9283949525354[[#This Row],[Course]],COURSELIST[],4,FALSE),""))</f>
        <v>3</v>
      </c>
      <c r="AL20" s="3" t="str">
        <f>IF(Table9283949525354[[#This Row],[Course]]= "","",IFERROR(VLOOKUP(Table9283949525354[[#This Row],[Course]],COURSELIST[],6,FALSE),""))</f>
        <v>y</v>
      </c>
      <c r="AM20" s="3" t="str">
        <f>IF(Table9283949525354[[#This Row],[Course]]= "","",IFERROR(VLOOKUP(Table9283949525354[[#This Row],[Course]],COURSELIST[],7,FALSE),""))</f>
        <v>y</v>
      </c>
      <c r="AN20" s="3">
        <f>IF(Table9283949525354[[#This Row],[Course]]= "","",IFERROR(VLOOKUP(Table9283949525354[[#This Row],[Course]],COURSELIST[],8,FALSE),""))</f>
        <v>12</v>
      </c>
    </row>
    <row r="21" spans="1:41" s="5" customFormat="1" ht="15.75" outlineLevel="1" thickBot="1">
      <c r="B21" s="171"/>
      <c r="C21" s="26" t="s">
        <v>139</v>
      </c>
      <c r="D21" s="3" t="str">
        <f>IF(Table52435[[#This Row],[Course]]= "","",IFERROR(VLOOKUP(Table52435[[#This Row],[Course]],COURSELIST[],2,FALSE),"Course Not Found!"))</f>
        <v xml:space="preserve">Intermed Java </v>
      </c>
      <c r="E21" s="3" t="str">
        <f>IF(Table52435[[#This Row],[Course]]= "","",IFERROR(VLOOKUP(Table52435[[#This Row],[Course]],COURSELIST[],3,FALSE),""))</f>
        <v>CompSci</v>
      </c>
      <c r="F21" s="3">
        <f>IF(Table52435[[#This Row],[Course]]= "","",IFERROR(VLOOKUP(Table52435[[#This Row],[Course]],COURSELIST[],4,FALSE),""))</f>
        <v>3</v>
      </c>
      <c r="G21" s="3"/>
      <c r="H21" s="3" t="str">
        <f>IF(Table52435[[#This Row],[Course]]= "","",IFERROR(VLOOKUP(Table52435[[#This Row],[Course]],COURSELIST[],6,FALSE),""))</f>
        <v>y</v>
      </c>
      <c r="I21" s="3" t="str">
        <f>IF(Table52435[[#This Row],[Course]]= "","",IFERROR(VLOOKUP(Table52435[[#This Row],[Course]],COURSELIST[],7,FALSE),""))</f>
        <v>y</v>
      </c>
      <c r="J21" s="3">
        <f>IF(Table52435[[#This Row],[Course]]= "","",IFERROR(VLOOKUP(Table52435[[#This Row],[Course]],COURSELIST[],8,FALSE),""))</f>
        <v>9</v>
      </c>
      <c r="K21" s="3"/>
      <c r="L21" s="171"/>
      <c r="M21" s="17"/>
      <c r="N21" s="3" t="str">
        <f>IF(Table123142[[#This Row],[Course]]= "","",IFERROR(VLOOKUP(Table123142[[#This Row],[Course]],COURSELIST[],2,FALSE),"Course Not Found!"))</f>
        <v/>
      </c>
      <c r="O21" s="3" t="str">
        <f>IF(Table123142[[#This Row],[Course]]= "","",IFERROR(VLOOKUP(Table123142[[#This Row],[Course]],COURSELIST[],3,FALSE),""))</f>
        <v/>
      </c>
      <c r="P21" s="3" t="str">
        <f>IF(Table123142[[#This Row],[Course]]= "","",IFERROR(VLOOKUP(Table123142[[#This Row],[Course]],COURSELIST[],4,FALSE),""))</f>
        <v/>
      </c>
      <c r="Q21" s="3"/>
      <c r="R21" s="3" t="str">
        <f>IF(Table123142[[#This Row],[Course]]= "","",IFERROR(VLOOKUP(Table123142[[#This Row],[Course]],COURSELIST[],6,FALSE),""))</f>
        <v/>
      </c>
      <c r="S21" s="3" t="str">
        <f>IF(Table123142[[#This Row],[Course]]= "","",IFERROR(VLOOKUP(Table123142[[#This Row],[Course]],COURSELIST[],7,FALSE),""))</f>
        <v/>
      </c>
      <c r="T21" s="3" t="str">
        <f>IF(Table123142[[#This Row],[Course]]= "","",IFERROR(VLOOKUP(Table123142[[#This Row],[Course]],COURSELIST[],8,FALSE),""))</f>
        <v/>
      </c>
      <c r="U21" s="3"/>
      <c r="V21" s="171"/>
      <c r="W21" s="26" t="s">
        <v>192</v>
      </c>
      <c r="X21" s="3" t="str">
        <f>IF(Table72637[[#This Row],[Course]]= "","",IFERROR(VLOOKUP(Table72637[[#This Row],[Course]],COURSELIST[],2,FALSE),"Course Not Found!"))</f>
        <v>Macro Economics</v>
      </c>
      <c r="Y21" s="3" t="str">
        <f>IF(Table72637[[#This Row],[Course]]= "","",IFERROR(VLOOKUP(Table72637[[#This Row],[Course]],COURSELIST[],3,FALSE),""))</f>
        <v>IT</v>
      </c>
      <c r="Z21" s="3">
        <f>IF(Table72637[[#This Row],[Course]]= "","",IFERROR(VLOOKUP(Table72637[[#This Row],[Course]],COURSELIST[],4,FALSE),""))</f>
        <v>3</v>
      </c>
      <c r="AA21" s="3"/>
      <c r="AB21" s="3" t="str">
        <f>IF(Table72637[[#This Row],[Course]]= "","",IFERROR(VLOOKUP(Table72637[[#This Row],[Course]],COURSELIST[],6,FALSE),""))</f>
        <v>y</v>
      </c>
      <c r="AC21" s="3" t="str">
        <f>IF(Table72637[[#This Row],[Course]]= "","",IFERROR(VLOOKUP(Table72637[[#This Row],[Course]],COURSELIST[],7,FALSE),""))</f>
        <v>y</v>
      </c>
      <c r="AD21" s="4">
        <f>IF(Table72637[[#This Row],[Course]]= "","",IFERROR(VLOOKUP(Table72637[[#This Row],[Course]],COURSELIST[],8,FALSE),""))</f>
        <v>9</v>
      </c>
      <c r="AF21" s="171"/>
      <c r="AG21" s="1" t="s">
        <v>226</v>
      </c>
      <c r="AH21" s="3" t="str">
        <f>IF(Table9283949525354[[#This Row],[Course]]= "","",IFERROR(VLOOKUP(Table9283949525354[[#This Row],[Course]],COURSELIST[],2,FALSE),"Course Not Found!"))</f>
        <v>S15   UD Marketing</v>
      </c>
      <c r="AI21" s="3" t="str">
        <f>IF(Table9283949525354[[#This Row],[Course]]= "","",IFERROR(VLOOKUP(Table9283949525354[[#This Row],[Course]],COURSELIST[],3,FALSE),""))</f>
        <v>IT</v>
      </c>
      <c r="AJ21" s="3">
        <f>IF(Table9283949525354[[#This Row],[Course]]= "","",IFERROR(VLOOKUP(Table9283949525354[[#This Row],[Course]],COURSELIST[],4,FALSE),""))</f>
        <v>3</v>
      </c>
      <c r="AK21" s="3"/>
      <c r="AL21" s="3" t="str">
        <f>IF(Table9283949525354[[#This Row],[Course]]= "","",IFERROR(VLOOKUP(Table9283949525354[[#This Row],[Course]],COURSELIST[],6,FALSE),""))</f>
        <v>y</v>
      </c>
      <c r="AM21" s="3" t="str">
        <f>IF(Table9283949525354[[#This Row],[Course]]= "","",IFERROR(VLOOKUP(Table9283949525354[[#This Row],[Course]],COURSELIST[],7,FALSE),""))</f>
        <v>y</v>
      </c>
      <c r="AN21" s="3">
        <f>IF(Table9283949525354[[#This Row],[Course]]= "","",IFERROR(VLOOKUP(Table9283949525354[[#This Row],[Course]],COURSELIST[],8,FALSE),""))</f>
        <v>9</v>
      </c>
    </row>
    <row r="22" spans="1:41" s="5" customFormat="1" ht="15.75" outlineLevel="1" thickBot="1">
      <c r="B22" s="171"/>
      <c r="C22" s="26" t="s">
        <v>142</v>
      </c>
      <c r="D22" s="3" t="str">
        <f>IF(Table52435[[#This Row],[Course]]= "","",IFERROR(VLOOKUP(Table52435[[#This Row],[Course]],COURSELIST[],2,FALSE),"Course Not Found!"))</f>
        <v>Business Stats</v>
      </c>
      <c r="E22" s="3" t="str">
        <f>IF(Table52435[[#This Row],[Course]]= "","",IFERROR(VLOOKUP(Table52435[[#This Row],[Course]],COURSELIST[],3,FALSE),""))</f>
        <v>IT</v>
      </c>
      <c r="F22" s="3">
        <f>IF(Table52435[[#This Row],[Course]]= "","",IFERROR(VLOOKUP(Table52435[[#This Row],[Course]],COURSELIST[],4,FALSE),""))</f>
        <v>3</v>
      </c>
      <c r="G22" s="3"/>
      <c r="H22" s="3" t="str">
        <f>IF(Table52435[[#This Row],[Course]]= "","",IFERROR(VLOOKUP(Table52435[[#This Row],[Course]],COURSELIST[],6,FALSE),""))</f>
        <v>y</v>
      </c>
      <c r="I22" s="3" t="str">
        <f>IF(Table52435[[#This Row],[Course]]= "","",IFERROR(VLOOKUP(Table52435[[#This Row],[Course]],COURSELIST[],7,FALSE),""))</f>
        <v>y</v>
      </c>
      <c r="J22" s="3">
        <f>IF(Table52435[[#This Row],[Course]]= "","",IFERROR(VLOOKUP(Table52435[[#This Row],[Course]],COURSELIST[],8,FALSE),""))</f>
        <v>9.99</v>
      </c>
      <c r="K22" s="3"/>
      <c r="L22" s="171"/>
      <c r="M22" s="17"/>
      <c r="N22" s="3" t="str">
        <f>IF(Table123142[[#This Row],[Course]]= "","",IFERROR(VLOOKUP(Table123142[[#This Row],[Course]],COURSELIST[],2,FALSE),"Course Not Found!"))</f>
        <v/>
      </c>
      <c r="O22" s="3" t="str">
        <f>IF(Table123142[[#This Row],[Course]]= "","",IFERROR(VLOOKUP(Table123142[[#This Row],[Course]],COURSELIST[],3,FALSE),""))</f>
        <v/>
      </c>
      <c r="P22" s="3" t="str">
        <f>IF(Table123142[[#This Row],[Course]]= "","",IFERROR(VLOOKUP(Table123142[[#This Row],[Course]],COURSELIST[],4,FALSE),""))</f>
        <v/>
      </c>
      <c r="Q22" s="3"/>
      <c r="R22" s="3" t="str">
        <f>IF(Table123142[[#This Row],[Course]]= "","",IFERROR(VLOOKUP(Table123142[[#This Row],[Course]],COURSELIST[],6,FALSE),""))</f>
        <v/>
      </c>
      <c r="S22" s="3" t="str">
        <f>IF(Table123142[[#This Row],[Course]]= "","",IFERROR(VLOOKUP(Table123142[[#This Row],[Course]],COURSELIST[],7,FALSE),""))</f>
        <v/>
      </c>
      <c r="T22" s="3" t="str">
        <f>IF(Table123142[[#This Row],[Course]]= "","",IFERROR(VLOOKUP(Table123142[[#This Row],[Course]],COURSELIST[],8,FALSE),""))</f>
        <v/>
      </c>
      <c r="U22" s="3"/>
      <c r="V22" s="171"/>
      <c r="W22" s="26" t="s">
        <v>194</v>
      </c>
      <c r="X22" s="3" t="str">
        <f>IF(Table72637[[#This Row],[Course]]= "","",IFERROR(VLOOKUP(Table72637[[#This Row],[Course]],COURSELIST[],2,FALSE),"Course Not Found!"))</f>
        <v>Geography 230</v>
      </c>
      <c r="Y22" s="3" t="str">
        <f>IF(Table72637[[#This Row],[Course]]= "","",IFERROR(VLOOKUP(Table72637[[#This Row],[Course]],COURSELIST[],3,FALSE),""))</f>
        <v>IT</v>
      </c>
      <c r="Z22" s="3">
        <f>IF(Table72637[[#This Row],[Course]]= "","",IFERROR(VLOOKUP(Table72637[[#This Row],[Course]],COURSELIST[],4,FALSE),""))</f>
        <v>3</v>
      </c>
      <c r="AA22" s="3"/>
      <c r="AB22" s="3" t="str">
        <f>IF(Table72637[[#This Row],[Course]]= "","",IFERROR(VLOOKUP(Table72637[[#This Row],[Course]],COURSELIST[],6,FALSE),""))</f>
        <v>y</v>
      </c>
      <c r="AC22" s="3" t="str">
        <f>IF(Table72637[[#This Row],[Course]]= "","",IFERROR(VLOOKUP(Table72637[[#This Row],[Course]],COURSELIST[],7,FALSE),""))</f>
        <v>y</v>
      </c>
      <c r="AD22" s="4">
        <f>IF(Table72637[[#This Row],[Course]]= "","",IFERROR(VLOOKUP(Table72637[[#This Row],[Course]],COURSELIST[],8,FALSE),""))</f>
        <v>8</v>
      </c>
      <c r="AF22" s="171"/>
      <c r="AG22" s="17"/>
      <c r="AH22" s="3" t="str">
        <f>IF(Table9283949525354[[#This Row],[Course]]= "","",IFERROR(VLOOKUP(Table9283949525354[[#This Row],[Course]],COURSELIST[],2,FALSE),"Course Not Found!"))</f>
        <v/>
      </c>
      <c r="AI22" s="3" t="str">
        <f>IF(Table9283949525354[[#This Row],[Course]]= "","",IFERROR(VLOOKUP(Table9283949525354[[#This Row],[Course]],COURSELIST[],3,FALSE),""))</f>
        <v/>
      </c>
      <c r="AJ22" s="3" t="str">
        <f>IF(Table9283949525354[[#This Row],[Course]]= "","",IFERROR(VLOOKUP(Table9283949525354[[#This Row],[Course]],COURSELIST[],4,FALSE),""))</f>
        <v/>
      </c>
      <c r="AK22" s="3"/>
      <c r="AL22" s="3" t="str">
        <f>IF(Table9283949525354[[#This Row],[Course]]= "","",IFERROR(VLOOKUP(Table9283949525354[[#This Row],[Course]],COURSELIST[],6,FALSE),""))</f>
        <v/>
      </c>
      <c r="AM22" s="3" t="str">
        <f>IF(Table9283949525354[[#This Row],[Course]]= "","",IFERROR(VLOOKUP(Table9283949525354[[#This Row],[Course]],COURSELIST[],7,FALSE),""))</f>
        <v/>
      </c>
      <c r="AN22" s="3" t="str">
        <f>IF(Table9283949525354[[#This Row],[Course]]= "","",IFERROR(VLOOKUP(Table9283949525354[[#This Row],[Course]],COURSELIST[],8,FALSE),""))</f>
        <v/>
      </c>
    </row>
    <row r="23" spans="1:41" s="5" customFormat="1" ht="15.75" outlineLevel="1" thickBot="1">
      <c r="B23" s="171"/>
      <c r="C23" s="26" t="s">
        <v>136</v>
      </c>
      <c r="D23" s="3" t="str">
        <f>IF(Table52435[[#This Row],[Course]]= "","",IFERROR(VLOOKUP(Table52435[[#This Row],[Course]],COURSELIST[],2,FALSE),"Course Not Found!"))</f>
        <v>Intro To Accounting</v>
      </c>
      <c r="E23" s="3" t="str">
        <f>IF(Table52435[[#This Row],[Course]]= "","",IFERROR(VLOOKUP(Table52435[[#This Row],[Course]],COURSELIST[],3,FALSE),""))</f>
        <v>IT</v>
      </c>
      <c r="F23" s="3">
        <f>IF(Table52435[[#This Row],[Course]]= "","",IFERROR(VLOOKUP(Table52435[[#This Row],[Course]],COURSELIST[],4,FALSE),""))</f>
        <v>3</v>
      </c>
      <c r="G23" s="3"/>
      <c r="H23" s="3" t="str">
        <f>IF(Table52435[[#This Row],[Course]]= "","",IFERROR(VLOOKUP(Table52435[[#This Row],[Course]],COURSELIST[],6,FALSE),""))</f>
        <v>y</v>
      </c>
      <c r="I23" s="3" t="str">
        <f>IF(Table52435[[#This Row],[Course]]= "","",IFERROR(VLOOKUP(Table52435[[#This Row],[Course]],COURSELIST[],7,FALSE),""))</f>
        <v>y</v>
      </c>
      <c r="J23" s="3">
        <f>IF(Table52435[[#This Row],[Course]]= "","",IFERROR(VLOOKUP(Table52435[[#This Row],[Course]],COURSELIST[],8,FALSE),""))</f>
        <v>6</v>
      </c>
      <c r="K23" s="3"/>
      <c r="L23" s="171"/>
      <c r="M23" s="17"/>
      <c r="N23" s="3" t="str">
        <f>IF(Table123142[[#This Row],[Course]]= "","",IFERROR(VLOOKUP(Table123142[[#This Row],[Course]],COURSELIST[],2,FALSE),"Course Not Found!"))</f>
        <v/>
      </c>
      <c r="O23" s="3" t="str">
        <f>IF(Table123142[[#This Row],[Course]]= "","",IFERROR(VLOOKUP(Table123142[[#This Row],[Course]],COURSELIST[],3,FALSE),""))</f>
        <v/>
      </c>
      <c r="P23" s="3" t="str">
        <f>IF(Table123142[[#This Row],[Course]]= "","",IFERROR(VLOOKUP(Table123142[[#This Row],[Course]],COURSELIST[],4,FALSE),""))</f>
        <v/>
      </c>
      <c r="Q23" s="3"/>
      <c r="R23" s="3" t="str">
        <f>IF(Table123142[[#This Row],[Course]]= "","",IFERROR(VLOOKUP(Table123142[[#This Row],[Course]],COURSELIST[],6,FALSE),""))</f>
        <v/>
      </c>
      <c r="S23" s="3" t="str">
        <f>IF(Table123142[[#This Row],[Course]]= "","",IFERROR(VLOOKUP(Table123142[[#This Row],[Course]],COURSELIST[],7,FALSE),""))</f>
        <v/>
      </c>
      <c r="T23" s="3" t="str">
        <f>IF(Table123142[[#This Row],[Course]]= "","",IFERROR(VLOOKUP(Table123142[[#This Row],[Course]],COURSELIST[],8,FALSE),""))</f>
        <v/>
      </c>
      <c r="U23" s="3"/>
      <c r="V23" s="171"/>
      <c r="W23" s="26" t="s">
        <v>185</v>
      </c>
      <c r="X23" s="3" t="str">
        <f>IF(Table72637[[#This Row],[Course]]= "","",IFERROR(VLOOKUP(Table72637[[#This Row],[Course]],COURSELIST[],2,FALSE),"Course Not Found!"))</f>
        <v>Intermediate Accounting</v>
      </c>
      <c r="Y23" s="3" t="str">
        <f>IF(Table72637[[#This Row],[Course]]= "","",IFERROR(VLOOKUP(Table72637[[#This Row],[Course]],COURSELIST[],3,FALSE),""))</f>
        <v>IT</v>
      </c>
      <c r="Z23" s="3">
        <f>IF(Table72637[[#This Row],[Course]]= "","",IFERROR(VLOOKUP(Table72637[[#This Row],[Course]],COURSELIST[],4,FALSE),""))</f>
        <v>3</v>
      </c>
      <c r="AA23" s="3"/>
      <c r="AB23" s="3" t="str">
        <f>IF(Table72637[[#This Row],[Course]]= "","",IFERROR(VLOOKUP(Table72637[[#This Row],[Course]],COURSELIST[],6,FALSE),""))</f>
        <v>y</v>
      </c>
      <c r="AC23" s="3" t="str">
        <f>IF(Table72637[[#This Row],[Course]]= "","",IFERROR(VLOOKUP(Table72637[[#This Row],[Course]],COURSELIST[],7,FALSE),""))</f>
        <v>y</v>
      </c>
      <c r="AD23" s="4">
        <f>IF(Table72637[[#This Row],[Course]]= "","",IFERROR(VLOOKUP(Table72637[[#This Row],[Course]],COURSELIST[],8,FALSE),""))</f>
        <v>9.99</v>
      </c>
      <c r="AF23" s="171"/>
      <c r="AG23" s="26"/>
      <c r="AH23" s="3" t="str">
        <f>IF(Table9283949525354[[#This Row],[Course]]= "","",IFERROR(VLOOKUP(Table9283949525354[[#This Row],[Course]],COURSELIST[],2,FALSE),"Course Not Found!"))</f>
        <v/>
      </c>
      <c r="AI23" s="3" t="str">
        <f>IF(Table9283949525354[[#This Row],[Course]]= "","",IFERROR(VLOOKUP(Table9283949525354[[#This Row],[Course]],COURSELIST[],3,FALSE),""))</f>
        <v/>
      </c>
      <c r="AJ23" s="3" t="str">
        <f>IF(Table9283949525354[[#This Row],[Course]]= "","",IFERROR(VLOOKUP(Table9283949525354[[#This Row],[Course]],COURSELIST[],4,FALSE),""))</f>
        <v/>
      </c>
      <c r="AK23" s="3"/>
      <c r="AL23" s="3" t="str">
        <f>IF(Table9283949525354[[#This Row],[Course]]= "","",IFERROR(VLOOKUP(Table9283949525354[[#This Row],[Course]],COURSELIST[],6,FALSE),""))</f>
        <v/>
      </c>
      <c r="AM23" s="3" t="str">
        <f>IF(Table9283949525354[[#This Row],[Course]]= "","",IFERROR(VLOOKUP(Table9283949525354[[#This Row],[Course]],COURSELIST[],7,FALSE),""))</f>
        <v/>
      </c>
      <c r="AN23" s="3" t="str">
        <f>IF(Table9283949525354[[#This Row],[Course]]= "","",IFERROR(VLOOKUP(Table9283949525354[[#This Row],[Course]],COURSELIST[],8,FALSE),""))</f>
        <v/>
      </c>
      <c r="AO23" s="3"/>
    </row>
    <row r="24" spans="1:41" s="5" customFormat="1" ht="15.75" outlineLevel="1" thickBot="1">
      <c r="B24" s="171"/>
      <c r="C24" s="27"/>
      <c r="D24" s="3" t="str">
        <f>IF(Table52435[[#This Row],[Course]]= "","",IFERROR(VLOOKUP(Table52435[[#This Row],[Course]],COURSELIST[],2,FALSE),"Course Not Found!"))</f>
        <v/>
      </c>
      <c r="E24" s="3" t="str">
        <f>IF(Table52435[[#This Row],[Course]]= "","",IFERROR(VLOOKUP(Table52435[[#This Row],[Course]],COURSELIST[],3,FALSE),""))</f>
        <v/>
      </c>
      <c r="F24" s="3" t="str">
        <f>IF(Table52435[[#This Row],[Course]]= "","",IFERROR(VLOOKUP(Table52435[[#This Row],[Course]],COURSELIST[],4,FALSE),""))</f>
        <v/>
      </c>
      <c r="G24" s="3"/>
      <c r="H24" s="3" t="str">
        <f>IF(Table52435[[#This Row],[Course]]= "","",IFERROR(VLOOKUP(Table52435[[#This Row],[Course]],COURSELIST[],6,FALSE),""))</f>
        <v/>
      </c>
      <c r="I24" s="3" t="str">
        <f>IF(Table52435[[#This Row],[Course]]= "","",IFERROR(VLOOKUP(Table52435[[#This Row],[Course]],COURSELIST[],7,FALSE),""))</f>
        <v/>
      </c>
      <c r="J24" s="3" t="str">
        <f>IF(Table52435[[#This Row],[Course]]= "","",IFERROR(VLOOKUP(Table52435[[#This Row],[Course]],COURSELIST[],8,FALSE),""))</f>
        <v/>
      </c>
      <c r="L24" s="171"/>
      <c r="M24" s="18"/>
      <c r="N24" s="5" t="str">
        <f>IF(Table123142[[#This Row],[Course]]= "","",IFERROR(VLOOKUP(Table123142[[#This Row],[Course]],COURSELIST[],2,FALSE),"Course Not Found!"))</f>
        <v/>
      </c>
      <c r="O24" s="5" t="str">
        <f>IF(Table123142[[#This Row],[Course]]= "","",IFERROR(VLOOKUP(Table123142[[#This Row],[Course]],COURSELIST[],3,FALSE),""))</f>
        <v/>
      </c>
      <c r="P24" s="5" t="str">
        <f>IF(Table123142[[#This Row],[Course]]= "","",IFERROR(VLOOKUP(Table123142[[#This Row],[Course]],COURSELIST[],4,FALSE),""))</f>
        <v/>
      </c>
      <c r="R24" s="5" t="str">
        <f>IF(Table123142[[#This Row],[Course]]= "","",IFERROR(VLOOKUP(Table123142[[#This Row],[Course]],COURSELIST[],6,FALSE),""))</f>
        <v/>
      </c>
      <c r="S24" s="5" t="str">
        <f>IF(Table123142[[#This Row],[Course]]= "","",IFERROR(VLOOKUP(Table123142[[#This Row],[Course]],COURSELIST[],7,FALSE),""))</f>
        <v/>
      </c>
      <c r="T24" s="3" t="str">
        <f>IF(Table123142[[#This Row],[Course]]= "","",IFERROR(VLOOKUP(Table123142[[#This Row],[Course]],COURSELIST[],8,FALSE),""))</f>
        <v/>
      </c>
      <c r="V24" s="171"/>
      <c r="W24" s="18"/>
      <c r="X24" s="3" t="str">
        <f>IF(Table72637[[#This Row],[Course]]= "","",IFERROR(VLOOKUP(Table72637[[#This Row],[Course]],COURSELIST[],2,FALSE),"Course Not Found!"))</f>
        <v/>
      </c>
      <c r="Y24" s="3" t="str">
        <f>IF(Table72637[[#This Row],[Course]]= "","",IFERROR(VLOOKUP(Table72637[[#This Row],[Course]],COURSELIST[],3,FALSE),""))</f>
        <v/>
      </c>
      <c r="Z24" s="3" t="str">
        <f>IF(Table72637[[#This Row],[Course]]= "","",IFERROR(VLOOKUP(Table72637[[#This Row],[Course]],COURSELIST[],4,FALSE),""))</f>
        <v/>
      </c>
      <c r="AA24" s="3"/>
      <c r="AB24" s="3" t="str">
        <f>IF(Table72637[[#This Row],[Course]]= "","",IFERROR(VLOOKUP(Table72637[[#This Row],[Course]],COURSELIST[],6,FALSE),""))</f>
        <v/>
      </c>
      <c r="AC24" s="3" t="str">
        <f>IF(Table72637[[#This Row],[Course]]= "","",IFERROR(VLOOKUP(Table72637[[#This Row],[Course]],COURSELIST[],7,FALSE),""))</f>
        <v/>
      </c>
      <c r="AD24" s="4" t="str">
        <f>IF(Table72637[[#This Row],[Course]]= "","",IFERROR(VLOOKUP(Table72637[[#This Row],[Course]],COURSELIST[],8,FALSE),""))</f>
        <v/>
      </c>
      <c r="AF24" s="171"/>
      <c r="AG24" s="26"/>
      <c r="AH24" s="3" t="str">
        <f>IF(Table9283949525354[[#This Row],[Course]]= "","",IFERROR(VLOOKUP(Table9283949525354[[#This Row],[Course]],COURSELIST[],2,FALSE),"Course Not Found!"))</f>
        <v/>
      </c>
      <c r="AI24" s="3" t="str">
        <f>IF(Table9283949525354[[#This Row],[Course]]= "","",IFERROR(VLOOKUP(Table9283949525354[[#This Row],[Course]],COURSELIST[],3,FALSE),""))</f>
        <v/>
      </c>
      <c r="AJ24" s="3" t="str">
        <f>IF(Table9283949525354[[#This Row],[Course]]= "","",IFERROR(VLOOKUP(Table9283949525354[[#This Row],[Course]],COURSELIST[],4,FALSE),""))</f>
        <v/>
      </c>
      <c r="AK24" s="3"/>
      <c r="AL24" s="3" t="str">
        <f>IF(Table9283949525354[[#This Row],[Course]]= "","",IFERROR(VLOOKUP(Table9283949525354[[#This Row],[Course]],COURSELIST[],6,FALSE),""))</f>
        <v/>
      </c>
      <c r="AM24" s="3" t="str">
        <f>IF(Table9283949525354[[#This Row],[Course]]= "","",IFERROR(VLOOKUP(Table9283949525354[[#This Row],[Course]],COURSELIST[],7,FALSE),""))</f>
        <v/>
      </c>
      <c r="AN24" s="3" t="str">
        <f>IF(Table9283949525354[[#This Row],[Course]]= "","",IFERROR(VLOOKUP(Table9283949525354[[#This Row],[Course]],COURSELIST[],8,FALSE),""))</f>
        <v/>
      </c>
      <c r="AO24" s="3"/>
    </row>
    <row r="25" spans="1:41" ht="15.75" outlineLevel="1" thickBot="1">
      <c r="B25" s="171"/>
      <c r="C25" s="27"/>
      <c r="D25" s="3" t="str">
        <f>IF(Table52435[[#This Row],[Course]]= "","",IFERROR(VLOOKUP(Table52435[[#This Row],[Course]],COURSELIST[],2,FALSE),"Course Not Found!"))</f>
        <v/>
      </c>
      <c r="E25" s="3" t="str">
        <f>IF(Table52435[[#This Row],[Course]]= "","",IFERROR(VLOOKUP(Table52435[[#This Row],[Course]],COURSELIST[],3,FALSE),""))</f>
        <v/>
      </c>
      <c r="F25" s="3" t="str">
        <f>IF(Table52435[[#This Row],[Course]]= "","",IFERROR(VLOOKUP(Table52435[[#This Row],[Course]],COURSELIST[],4,FALSE),""))</f>
        <v/>
      </c>
      <c r="H25" s="3" t="str">
        <f>IF(Table52435[[#This Row],[Course]]= "","",IFERROR(VLOOKUP(Table52435[[#This Row],[Course]],COURSELIST[],6,FALSE),""))</f>
        <v/>
      </c>
      <c r="I25" s="3" t="str">
        <f>IF(Table52435[[#This Row],[Course]]= "","",IFERROR(VLOOKUP(Table52435[[#This Row],[Course]],COURSELIST[],7,FALSE),""))</f>
        <v/>
      </c>
      <c r="J25" s="3" t="str">
        <f>IF(Table52435[[#This Row],[Course]]= "","",IFERROR(VLOOKUP(Table52435[[#This Row],[Course]],COURSELIST[],8,FALSE),""))</f>
        <v/>
      </c>
      <c r="L25" s="171"/>
      <c r="M25" s="18"/>
      <c r="N25" s="5" t="str">
        <f>IF(Table123142[[#This Row],[Course]]= "","",IFERROR(VLOOKUP(Table123142[[#This Row],[Course]],COURSELIST[],2,FALSE),"Course Not Found!"))</f>
        <v/>
      </c>
      <c r="O25" s="5" t="str">
        <f>IF(Table123142[[#This Row],[Course]]= "","",IFERROR(VLOOKUP(Table123142[[#This Row],[Course]],COURSELIST[],3,FALSE),""))</f>
        <v/>
      </c>
      <c r="P25" s="5" t="str">
        <f>IF(Table123142[[#This Row],[Course]]= "","",IFERROR(VLOOKUP(Table123142[[#This Row],[Course]],COURSELIST[],4,FALSE),""))</f>
        <v/>
      </c>
      <c r="Q25" s="5"/>
      <c r="R25" s="5" t="str">
        <f>IF(Table123142[[#This Row],[Course]]= "","",IFERROR(VLOOKUP(Table123142[[#This Row],[Course]],COURSELIST[],6,FALSE),""))</f>
        <v/>
      </c>
      <c r="S25" s="5" t="str">
        <f>IF(Table123142[[#This Row],[Course]]= "","",IFERROR(VLOOKUP(Table123142[[#This Row],[Course]],COURSELIST[],7,FALSE),""))</f>
        <v/>
      </c>
      <c r="T25" s="3" t="str">
        <f>IF(Table123142[[#This Row],[Course]]= "","",IFERROR(VLOOKUP(Table123142[[#This Row],[Course]],COURSELIST[],8,FALSE),""))</f>
        <v/>
      </c>
      <c r="V25" s="171"/>
      <c r="W25" s="17"/>
      <c r="X25" s="3" t="str">
        <f>IF(Table72637[[#This Row],[Course]]= "","",IFERROR(VLOOKUP(Table72637[[#This Row],[Course]],COURSELIST[],2,FALSE),"Course Not Found!"))</f>
        <v/>
      </c>
      <c r="Y25" s="3" t="str">
        <f>IF(Table72637[[#This Row],[Course]]= "","",IFERROR(VLOOKUP(Table72637[[#This Row],[Course]],COURSELIST[],3,FALSE),""))</f>
        <v/>
      </c>
      <c r="Z25" s="3" t="str">
        <f>IF(Table72637[[#This Row],[Course]]= "","",IFERROR(VLOOKUP(Table72637[[#This Row],[Course]],COURSELIST[],4,FALSE),""))</f>
        <v/>
      </c>
      <c r="AB25" s="3" t="str">
        <f>IF(Table72637[[#This Row],[Course]]= "","",IFERROR(VLOOKUP(Table72637[[#This Row],[Course]],COURSELIST[],6,FALSE),""))</f>
        <v/>
      </c>
      <c r="AC25" s="3" t="str">
        <f>IF(Table72637[[#This Row],[Course]]= "","",IFERROR(VLOOKUP(Table72637[[#This Row],[Course]],COURSELIST[],7,FALSE),""))</f>
        <v/>
      </c>
      <c r="AD25" s="4" t="str">
        <f>IF(Table72637[[#This Row],[Course]]= "","",IFERROR(VLOOKUP(Table72637[[#This Row],[Course]],COURSELIST[],8,FALSE),""))</f>
        <v/>
      </c>
      <c r="AF25" s="171"/>
      <c r="AG25" s="29"/>
      <c r="AH25" s="3" t="str">
        <f>IF(Table9283949525354[[#This Row],[Course]]= "","",IFERROR(VLOOKUP(Table9283949525354[[#This Row],[Course]],COURSELIST[],2,FALSE),"Course Not Found!"))</f>
        <v/>
      </c>
      <c r="AI25" s="3" t="str">
        <f>IF(Table9283949525354[[#This Row],[Course]]= "","",IFERROR(VLOOKUP(Table9283949525354[[#This Row],[Course]],COURSELIST[],3,FALSE),""))</f>
        <v/>
      </c>
      <c r="AJ25" s="3" t="str">
        <f>IF(Table9283949525354[[#This Row],[Course]]= "","",IFERROR(VLOOKUP(Table9283949525354[[#This Row],[Course]],COURSELIST[],4,FALSE),""))</f>
        <v/>
      </c>
      <c r="AL25" s="3" t="str">
        <f>IF(Table9283949525354[[#This Row],[Course]]= "","",IFERROR(VLOOKUP(Table9283949525354[[#This Row],[Course]],COURSELIST[],6,FALSE),""))</f>
        <v/>
      </c>
      <c r="AM25" s="3" t="str">
        <f>IF(Table9283949525354[[#This Row],[Course]]= "","",IFERROR(VLOOKUP(Table9283949525354[[#This Row],[Course]],COURSELIST[],7,FALSE),""))</f>
        <v/>
      </c>
      <c r="AN25" s="3" t="str">
        <f>IF(Table9283949525354[[#This Row],[Course]]= "","",IFERROR(VLOOKUP(Table9283949525354[[#This Row],[Course]],COURSELIST[],8,FALSE),""))</f>
        <v/>
      </c>
    </row>
    <row r="26" spans="1:41" outlineLevel="1">
      <c r="E26" s="3" t="s">
        <v>10</v>
      </c>
      <c r="F26" s="3">
        <f>SUM(F19:F25)</f>
        <v>15</v>
      </c>
      <c r="I26" s="3" t="s">
        <v>27</v>
      </c>
      <c r="J26" s="3">
        <f>SUM(J19:J25)</f>
        <v>39.99</v>
      </c>
      <c r="M26" s="5"/>
      <c r="N26" s="5"/>
      <c r="O26" s="3" t="s">
        <v>10</v>
      </c>
      <c r="P26" s="3">
        <f>SUM(P19:P23)</f>
        <v>0</v>
      </c>
      <c r="S26" s="3" t="s">
        <v>27</v>
      </c>
      <c r="T26" s="3">
        <f>SUM(T19:T25)</f>
        <v>0</v>
      </c>
      <c r="Y26" s="3" t="s">
        <v>10</v>
      </c>
      <c r="Z26" s="3">
        <f>SUM(Z19:Z25)</f>
        <v>15</v>
      </c>
      <c r="AB26" s="5"/>
      <c r="AC26" s="3" t="s">
        <v>27</v>
      </c>
      <c r="AD26" s="3">
        <f>SUM(AD19:AD25)</f>
        <v>49.99</v>
      </c>
      <c r="AI26" s="3" t="s">
        <v>10</v>
      </c>
      <c r="AJ26" s="3">
        <f>SUM(AJ19:AJ25)</f>
        <v>9</v>
      </c>
      <c r="AM26" s="3" t="s">
        <v>27</v>
      </c>
      <c r="AN26" s="3">
        <f>SUM(AN19:AN25)</f>
        <v>33</v>
      </c>
    </row>
    <row r="27" spans="1:41" outlineLevel="1">
      <c r="E27" s="3" t="s">
        <v>18</v>
      </c>
      <c r="F27" s="3">
        <f>F26+Z12</f>
        <v>59</v>
      </c>
      <c r="I27" s="3" t="s">
        <v>17</v>
      </c>
      <c r="J27" s="3">
        <f>J26+AD12</f>
        <v>155.59</v>
      </c>
      <c r="L27" s="5"/>
      <c r="O27" s="3" t="s">
        <v>18</v>
      </c>
      <c r="P27" s="3">
        <f>P26+F27</f>
        <v>59</v>
      </c>
      <c r="S27" s="3" t="s">
        <v>17</v>
      </c>
      <c r="T27" s="3">
        <f>T26+J27</f>
        <v>155.59</v>
      </c>
      <c r="U27" s="5"/>
      <c r="V27" s="5"/>
      <c r="Y27" s="3" t="s">
        <v>18</v>
      </c>
      <c r="Z27" s="3">
        <f>Z26+P27</f>
        <v>74</v>
      </c>
      <c r="AC27" s="3" t="s">
        <v>17</v>
      </c>
      <c r="AD27" s="3">
        <f>AD26+T27</f>
        <v>205.58</v>
      </c>
      <c r="AI27" s="3" t="s">
        <v>18</v>
      </c>
      <c r="AJ27" s="3">
        <f>AJ26+Z27</f>
        <v>83</v>
      </c>
      <c r="AM27" s="3" t="s">
        <v>17</v>
      </c>
      <c r="AN27" s="3">
        <f>AN26+AD27</f>
        <v>238.58</v>
      </c>
    </row>
    <row r="28" spans="1:41" outlineLevel="1">
      <c r="E28" s="5" t="s">
        <v>19</v>
      </c>
      <c r="F28" s="5">
        <f>F26+Z13</f>
        <v>48</v>
      </c>
      <c r="G28" s="5"/>
      <c r="I28" s="3" t="s">
        <v>46</v>
      </c>
      <c r="J28" s="3">
        <f>J26/F26</f>
        <v>2.6659999999999999</v>
      </c>
      <c r="O28" s="5" t="s">
        <v>19</v>
      </c>
      <c r="P28" s="5">
        <f>P26+F28</f>
        <v>48</v>
      </c>
      <c r="Q28" s="5"/>
      <c r="S28" s="3" t="s">
        <v>14</v>
      </c>
      <c r="T28" s="3" t="e">
        <f>T26/P26</f>
        <v>#DIV/0!</v>
      </c>
      <c r="W28" s="5"/>
      <c r="X28" s="5"/>
      <c r="Y28" s="5" t="s">
        <v>19</v>
      </c>
      <c r="Z28" s="5">
        <f>Z26+P28</f>
        <v>63</v>
      </c>
      <c r="AA28" s="5"/>
      <c r="AC28" s="3" t="s">
        <v>14</v>
      </c>
      <c r="AD28" s="3">
        <f>AD26/Z26</f>
        <v>3.3326666666666669</v>
      </c>
      <c r="AG28" s="5"/>
      <c r="AH28" s="5"/>
      <c r="AI28" s="5" t="s">
        <v>19</v>
      </c>
      <c r="AJ28" s="5">
        <f>AJ26+Z28</f>
        <v>72</v>
      </c>
      <c r="AK28" s="5"/>
      <c r="AM28" s="3" t="s">
        <v>14</v>
      </c>
      <c r="AN28" s="3">
        <f>AN26/AJ26</f>
        <v>3.6666666666666665</v>
      </c>
    </row>
    <row r="29" spans="1:41" s="24" customFormat="1" ht="21.75" outlineLevel="1" thickBot="1">
      <c r="C29" s="3"/>
      <c r="D29" s="3"/>
      <c r="E29" s="3"/>
      <c r="F29" s="3"/>
      <c r="G29" s="3"/>
      <c r="I29" s="5" t="s">
        <v>16</v>
      </c>
      <c r="J29" s="5">
        <f>J27/F28</f>
        <v>3.2414583333333336</v>
      </c>
      <c r="M29" s="5"/>
      <c r="N29" s="5"/>
      <c r="O29" s="3"/>
      <c r="P29" s="3"/>
      <c r="Q29" s="3"/>
      <c r="R29" s="3"/>
      <c r="S29" s="5" t="s">
        <v>16</v>
      </c>
      <c r="T29" s="5">
        <f>T27/P28</f>
        <v>3.2414583333333336</v>
      </c>
      <c r="W29" s="3"/>
      <c r="X29" s="3"/>
      <c r="Y29" s="3"/>
      <c r="Z29" s="3"/>
      <c r="AA29" s="3"/>
      <c r="AB29" s="3"/>
      <c r="AC29" s="5" t="s">
        <v>16</v>
      </c>
      <c r="AD29" s="5">
        <f>AD27/Z28</f>
        <v>3.2631746031746034</v>
      </c>
      <c r="AG29" s="3"/>
      <c r="AH29" s="3"/>
      <c r="AI29" s="3"/>
      <c r="AJ29" s="3"/>
      <c r="AK29" s="3"/>
      <c r="AL29" s="3"/>
      <c r="AM29" s="5" t="s">
        <v>16</v>
      </c>
      <c r="AN29" s="5">
        <f>AN27/AJ28</f>
        <v>3.3136111111111113</v>
      </c>
    </row>
    <row r="30" spans="1:41" ht="21.75" thickBot="1">
      <c r="A30" s="89" t="s">
        <v>90</v>
      </c>
      <c r="D30" s="39"/>
      <c r="J30" s="24"/>
    </row>
    <row r="31" spans="1:41" ht="23.25" customHeight="1" outlineLevel="1" thickBot="1">
      <c r="B31" s="171" t="s">
        <v>607</v>
      </c>
      <c r="C31" s="179" t="s">
        <v>103</v>
      </c>
      <c r="D31" s="180"/>
      <c r="E31" s="181"/>
      <c r="F31" s="164" t="str">
        <f>GradeStatus(AJ27)&amp;"--"&amp;AJ27&amp;" Credits "&amp;F41&amp;" In Progress"</f>
        <v>Junior--83 Credits 95 In Progress</v>
      </c>
      <c r="G31" s="165"/>
      <c r="H31" s="165"/>
      <c r="I31" s="165"/>
      <c r="J31" s="165"/>
      <c r="L31" s="171" t="s">
        <v>94</v>
      </c>
      <c r="M31" s="175" t="s">
        <v>21</v>
      </c>
      <c r="N31" s="176"/>
      <c r="O31" s="177"/>
      <c r="P31" s="166" t="str">
        <f>GradeStatus(F41)&amp;"--"&amp;F41&amp;" Credits "&amp;P41&amp;" In Progress"</f>
        <v>Senior--95 Credits 104 In Progress</v>
      </c>
      <c r="Q31" s="167"/>
      <c r="R31" s="167"/>
      <c r="S31" s="167"/>
      <c r="T31" s="167"/>
      <c r="V31" s="171" t="s">
        <v>95</v>
      </c>
      <c r="W31" s="168" t="s">
        <v>6</v>
      </c>
      <c r="X31" s="169"/>
      <c r="Y31" s="170"/>
      <c r="Z31" s="162" t="str">
        <f>GradeStatus(P41)&amp;"--"&amp;P41&amp;" Credits "&amp;Z41&amp;" In Progress"</f>
        <v>Senior--104 Credits 122 In Progress</v>
      </c>
      <c r="AA31" s="163"/>
      <c r="AB31" s="163"/>
      <c r="AC31" s="163"/>
      <c r="AD31" s="163"/>
      <c r="AF31" s="171" t="s">
        <v>96</v>
      </c>
      <c r="AG31" s="172" t="s">
        <v>57</v>
      </c>
      <c r="AH31" s="173"/>
      <c r="AI31" s="174"/>
      <c r="AJ31" s="160" t="str">
        <f>GradeStatus(Z41)&amp;"--"&amp;Z41&amp;" Credits "&amp;AJ41&amp;" In Progress"</f>
        <v>Senior--122 Credits 125 In Progress</v>
      </c>
      <c r="AK31" s="161"/>
      <c r="AL31" s="161"/>
      <c r="AM31" s="161"/>
      <c r="AN31" s="161"/>
    </row>
    <row r="32" spans="1:41" ht="15.75" outlineLevel="1" thickBot="1">
      <c r="B32" s="171"/>
      <c r="C32" s="3" t="s">
        <v>20</v>
      </c>
      <c r="D32" s="3" t="s">
        <v>24</v>
      </c>
      <c r="E32" s="3" t="s">
        <v>25</v>
      </c>
      <c r="F32" s="3" t="s">
        <v>10</v>
      </c>
      <c r="G32" s="3" t="s">
        <v>26</v>
      </c>
      <c r="H32" s="3" t="s">
        <v>12</v>
      </c>
      <c r="I32" s="3" t="s">
        <v>36</v>
      </c>
      <c r="J32" s="3" t="s">
        <v>28</v>
      </c>
      <c r="L32" s="171"/>
      <c r="M32" s="3" t="s">
        <v>20</v>
      </c>
      <c r="N32" s="3" t="s">
        <v>24</v>
      </c>
      <c r="O32" s="3" t="s">
        <v>25</v>
      </c>
      <c r="P32" s="3" t="s">
        <v>10</v>
      </c>
      <c r="Q32" s="3" t="s">
        <v>26</v>
      </c>
      <c r="R32" s="3" t="s">
        <v>12</v>
      </c>
      <c r="S32" s="3" t="s">
        <v>36</v>
      </c>
      <c r="T32" s="1" t="s">
        <v>28</v>
      </c>
      <c r="V32" s="171"/>
      <c r="W32" s="3" t="s">
        <v>20</v>
      </c>
      <c r="X32" s="3" t="s">
        <v>24</v>
      </c>
      <c r="Y32" s="3" t="s">
        <v>25</v>
      </c>
      <c r="Z32" s="3" t="s">
        <v>10</v>
      </c>
      <c r="AA32" s="3" t="s">
        <v>26</v>
      </c>
      <c r="AB32" s="3" t="s">
        <v>12</v>
      </c>
      <c r="AC32" s="3" t="s">
        <v>36</v>
      </c>
      <c r="AD32" s="3" t="s">
        <v>28</v>
      </c>
      <c r="AF32" s="171"/>
      <c r="AG32" s="1" t="s">
        <v>20</v>
      </c>
      <c r="AH32" s="3" t="s">
        <v>24</v>
      </c>
      <c r="AI32" s="3" t="s">
        <v>25</v>
      </c>
      <c r="AJ32" s="3" t="s">
        <v>10</v>
      </c>
      <c r="AK32" s="3" t="s">
        <v>26</v>
      </c>
      <c r="AL32" s="3" t="s">
        <v>12</v>
      </c>
      <c r="AM32" s="3" t="s">
        <v>36</v>
      </c>
      <c r="AN32" s="3" t="s">
        <v>28</v>
      </c>
    </row>
    <row r="33" spans="1:40" s="5" customFormat="1" ht="15.75" outlineLevel="1" thickBot="1">
      <c r="B33" s="171"/>
      <c r="C33" s="26" t="s">
        <v>151</v>
      </c>
      <c r="D33" s="3" t="str">
        <f>IF(Table42334[[#This Row],[Course]]= "","",IFERROR(VLOOKUP(Table42334[[#This Row],[Course]],COURSELIST[],2,FALSE),"Course Not Found!"))</f>
        <v>Business Communication (Changing to BEINDP 290 Fall 2015)</v>
      </c>
      <c r="E33" s="3" t="str">
        <f>IF(Table42334[[#This Row],[Course]]= "","",IFERROR(VLOOKUP(Table42334[[#This Row],[Course]],COURSELIST[],3,FALSE),""))</f>
        <v>IT</v>
      </c>
      <c r="F33" s="3">
        <f>IF(Table42334[[#This Row],[Course]]= "","",IFERROR(VLOOKUP(Table42334[[#This Row],[Course]],COURSELIST[],4,FALSE),""))</f>
        <v>0</v>
      </c>
      <c r="G33" s="3"/>
      <c r="H33" s="3" t="str">
        <f>IF(Table42334[[#This Row],[Course]]= "","",IFERROR(VLOOKUP(Table42334[[#This Row],[Course]],COURSELIST[],6,FALSE),""))</f>
        <v>y</v>
      </c>
      <c r="I33" s="3" t="str">
        <f>IF(Table42334[[#This Row],[Course]]= "","",IFERROR(VLOOKUP(Table42334[[#This Row],[Course]],COURSELIST[],7,FALSE),""))</f>
        <v>n</v>
      </c>
      <c r="J33" s="3">
        <f>IF(Table42334[[#This Row],[Course]]= "","",IFERROR(VLOOKUP(Table42334[[#This Row],[Course]],COURSELIST[],8,FALSE),""))</f>
        <v>0</v>
      </c>
      <c r="K33" s="3"/>
      <c r="L33" s="171"/>
      <c r="M33" s="18" t="s">
        <v>453</v>
      </c>
      <c r="N33" s="3" t="str">
        <f>IF(Table133243[[#This Row],[Course]]= "","",IFERROR(VLOOKUP(Table133243[[#This Row],[Course]],COURSELIST[],2,FALSE),"Course Not Found!"))</f>
        <v>SW15 W16 UD Intro tobusiness law</v>
      </c>
      <c r="O33" s="3" t="str">
        <f>IF(Table133243[[#This Row],[Course]]= "","",IFERROR(VLOOKUP(Table133243[[#This Row],[Course]],COURSELIST[],3,FALSE),""))</f>
        <v>IT</v>
      </c>
      <c r="P33" s="3">
        <f>IF(Table133243[[#This Row],[Course]]= "","",IFERROR(VLOOKUP(Table133243[[#This Row],[Course]],COURSELIST[],4,FALSE),""))</f>
        <v>3</v>
      </c>
      <c r="Q33" s="3"/>
      <c r="R33" s="3" t="str">
        <f>IF(Table133243[[#This Row],[Course]]= "","",IFERROR(VLOOKUP(Table133243[[#This Row],[Course]],COURSELIST[],6,FALSE),""))</f>
        <v>n</v>
      </c>
      <c r="S33" s="3" t="str">
        <f>IF(Table133243[[#This Row],[Course]]= "","",IFERROR(VLOOKUP(Table133243[[#This Row],[Course]],COURSELIST[],7,FALSE),""))</f>
        <v>n</v>
      </c>
      <c r="T33" s="3">
        <f>IF(Table133243[[#This Row],[Course]]= "","",IFERROR(VLOOKUP(Table133243[[#This Row],[Course]],COURSELIST[],8,FALSE),""))</f>
        <v>0</v>
      </c>
      <c r="U33" s="3"/>
      <c r="V33" s="171"/>
      <c r="W33" s="26" t="s">
        <v>207</v>
      </c>
      <c r="X33" s="3" t="str">
        <f>IF(Table82738[[#This Row],[Course]]= "","",IFERROR(VLOOKUP(Table82738[[#This Row],[Course]],COURSELIST[],2,FALSE),"Course Not Found!"))</f>
        <v>CS 300+</v>
      </c>
      <c r="Y33" s="3" t="str">
        <f>IF(Table82738[[#This Row],[Course]]= "","",IFERROR(VLOOKUP(Table82738[[#This Row],[Course]],COURSELIST[],3,FALSE),""))</f>
        <v>CompSci</v>
      </c>
      <c r="Z33" s="3">
        <f>IF(Table82738[[#This Row],[Course]]= "","",IFERROR(VLOOKUP(Table82738[[#This Row],[Course]],COURSELIST[],4,FALSE),""))</f>
        <v>3</v>
      </c>
      <c r="AA33" s="3"/>
      <c r="AB33" s="3" t="str">
        <f>IF(Table82738[[#This Row],[Course]]= "","",IFERROR(VLOOKUP(Table82738[[#This Row],[Course]],COURSELIST[],6,FALSE),""))</f>
        <v>n</v>
      </c>
      <c r="AC33" s="3" t="str">
        <f>IF(Table82738[[#This Row],[Course]]= "","",IFERROR(VLOOKUP(Table82738[[#This Row],[Course]],COURSELIST[],7,FALSE),""))</f>
        <v>n</v>
      </c>
      <c r="AD33" s="3">
        <f>IF(Table82738[[#This Row],[Course]]= "","",IFERROR(VLOOKUP(Table82738[[#This Row],[Course]],COURSELIST[],8,FALSE),""))</f>
        <v>0</v>
      </c>
      <c r="AF33" s="171"/>
      <c r="AG33" s="26" t="s">
        <v>228</v>
      </c>
      <c r="AH33" s="3" t="str">
        <f>IF(Table92839495253[[#This Row],[Course]]= "","",IFERROR(VLOOKUP(Table92839495253[[#This Row],[Course]],COURSELIST[],2,FALSE),"Course Not Found!"))</f>
        <v>S15  UD Organizational Behavior</v>
      </c>
      <c r="AI33" s="3" t="str">
        <f>IF(Table92839495253[[#This Row],[Course]]= "","",IFERROR(VLOOKUP(Table92839495253[[#This Row],[Course]],COURSELIST[],3,FALSE),""))</f>
        <v>IT</v>
      </c>
      <c r="AJ33" s="3">
        <f>IF(Table92839495253[[#This Row],[Course]]= "","",IFERROR(VLOOKUP(Table92839495253[[#This Row],[Course]],COURSELIST[],4,FALSE),""))</f>
        <v>3</v>
      </c>
      <c r="AK33" s="3"/>
      <c r="AL33" s="3" t="str">
        <f>IF(Table92839495253[[#This Row],[Course]]= "","",IFERROR(VLOOKUP(Table92839495253[[#This Row],[Course]],COURSELIST[],6,FALSE),""))</f>
        <v>n</v>
      </c>
      <c r="AM33" s="3" t="str">
        <f>IF(Table92839495253[[#This Row],[Course]]= "","",IFERROR(VLOOKUP(Table92839495253[[#This Row],[Course]],COURSELIST[],7,FALSE),""))</f>
        <v>n</v>
      </c>
      <c r="AN33" s="3">
        <f>IF(Table92839495253[[#This Row],[Course]]= "","",IFERROR(VLOOKUP(Table92839495253[[#This Row],[Course]],COURSELIST[],8,FALSE),""))</f>
        <v>0</v>
      </c>
    </row>
    <row r="34" spans="1:40" s="5" customFormat="1" ht="15.75" outlineLevel="1" thickBot="1">
      <c r="B34" s="171"/>
      <c r="C34" s="26" t="s">
        <v>148</v>
      </c>
      <c r="D34" s="3" t="str">
        <f>IF(Table42334[[#This Row],[Course]]= "","",IFERROR(VLOOKUP(Table42334[[#This Row],[Course]],COURSELIST[],2,FALSE),"Course Not Found!"))</f>
        <v>Career Information   (Changing to BEINDP 288 Fall 2015)</v>
      </c>
      <c r="E34" s="3" t="str">
        <f>IF(Table42334[[#This Row],[Course]]= "","",IFERROR(VLOOKUP(Table42334[[#This Row],[Course]],COURSELIST[],3,FALSE),""))</f>
        <v>IT</v>
      </c>
      <c r="F34" s="3">
        <f>IF(Table42334[[#This Row],[Course]]= "","",IFERROR(VLOOKUP(Table42334[[#This Row],[Course]],COURSELIST[],4,FALSE),""))</f>
        <v>0</v>
      </c>
      <c r="G34" s="3"/>
      <c r="H34" s="3" t="str">
        <f>IF(Table42334[[#This Row],[Course]]= "","",IFERROR(VLOOKUP(Table42334[[#This Row],[Course]],COURSELIST[],6,FALSE),""))</f>
        <v>y</v>
      </c>
      <c r="I34" s="3" t="str">
        <f>IF(Table42334[[#This Row],[Course]]= "","",IFERROR(VLOOKUP(Table42334[[#This Row],[Course]],COURSELIST[],7,FALSE),""))</f>
        <v>n</v>
      </c>
      <c r="J34" s="3">
        <f>IF(Table42334[[#This Row],[Course]]= "","",IFERROR(VLOOKUP(Table42334[[#This Row],[Course]],COURSELIST[],8,FALSE),""))</f>
        <v>0</v>
      </c>
      <c r="K34" s="3"/>
      <c r="L34" s="171"/>
      <c r="M34" s="17" t="s">
        <v>172</v>
      </c>
      <c r="N34" s="3" t="str">
        <f>IF(Table133243[[#This Row],[Course]]= "","",IFERROR(VLOOKUP(Table133243[[#This Row],[Course]],COURSELIST[],2,FALSE),"Course Not Found!"))</f>
        <v>SW15 UD Operations Mngmt</v>
      </c>
      <c r="O34" s="3" t="str">
        <f>IF(Table133243[[#This Row],[Course]]= "","",IFERROR(VLOOKUP(Table133243[[#This Row],[Course]],COURSELIST[],3,FALSE),""))</f>
        <v>IT</v>
      </c>
      <c r="P34" s="3">
        <f>IF(Table133243[[#This Row],[Course]]= "","",IFERROR(VLOOKUP(Table133243[[#This Row],[Course]],COURSELIST[],4,FALSE),""))</f>
        <v>3</v>
      </c>
      <c r="Q34" s="3"/>
      <c r="R34" s="3" t="str">
        <f>IF(Table133243[[#This Row],[Course]]= "","",IFERROR(VLOOKUP(Table133243[[#This Row],[Course]],COURSELIST[],6,FALSE),""))</f>
        <v>n</v>
      </c>
      <c r="S34" s="3" t="str">
        <f>IF(Table133243[[#This Row],[Course]]= "","",IFERROR(VLOOKUP(Table133243[[#This Row],[Course]],COURSELIST[],7,FALSE),""))</f>
        <v>n</v>
      </c>
      <c r="T34" s="3">
        <f>IF(Table133243[[#This Row],[Course]]= "","",IFERROR(VLOOKUP(Table133243[[#This Row],[Course]],COURSELIST[],8,FALSE),""))</f>
        <v>0</v>
      </c>
      <c r="U34" s="3"/>
      <c r="V34" s="171"/>
      <c r="W34" s="26" t="s">
        <v>201</v>
      </c>
      <c r="X34" s="3" t="str">
        <f>IF(Table82738[[#This Row],[Course]]= "","",IFERROR(VLOOKUP(Table82738[[#This Row],[Course]],COURSELIST[],2,FALSE),"Course Not Found!"))</f>
        <v>SW15 W16 UD Intro tobusiness law</v>
      </c>
      <c r="Y34" s="3" t="str">
        <f>IF(Table82738[[#This Row],[Course]]= "","",IFERROR(VLOOKUP(Table82738[[#This Row],[Course]],COURSELIST[],3,FALSE),""))</f>
        <v>IT</v>
      </c>
      <c r="Z34" s="3">
        <f>IF(Table82738[[#This Row],[Course]]= "","",IFERROR(VLOOKUP(Table82738[[#This Row],[Course]],COURSELIST[],4,FALSE),""))</f>
        <v>3</v>
      </c>
      <c r="AA34" s="3"/>
      <c r="AB34" s="3" t="str">
        <f>IF(Table82738[[#This Row],[Course]]= "","",IFERROR(VLOOKUP(Table82738[[#This Row],[Course]],COURSELIST[],6,FALSE),""))</f>
        <v>n</v>
      </c>
      <c r="AC34" s="3" t="str">
        <f>IF(Table82738[[#This Row],[Course]]= "","",IFERROR(VLOOKUP(Table82738[[#This Row],[Course]],COURSELIST[],7,FALSE),""))</f>
        <v>n</v>
      </c>
      <c r="AD34" s="3">
        <f>IF(Table82738[[#This Row],[Course]]= "","",IFERROR(VLOOKUP(Table82738[[#This Row],[Course]],COURSELIST[],8,FALSE),""))</f>
        <v>0</v>
      </c>
      <c r="AF34" s="171"/>
      <c r="AG34" s="26"/>
      <c r="AH34" s="3" t="str">
        <f>IF(Table92839495253[[#This Row],[Course]]= "","",IFERROR(VLOOKUP(Table92839495253[[#This Row],[Course]],COURSELIST[],2,FALSE),"Course Not Found!"))</f>
        <v/>
      </c>
      <c r="AI34" s="3" t="str">
        <f>IF(Table92839495253[[#This Row],[Course]]= "","",IFERROR(VLOOKUP(Table92839495253[[#This Row],[Course]],COURSELIST[],3,FALSE),""))</f>
        <v/>
      </c>
      <c r="AJ34" s="3" t="str">
        <f>IF(Table92839495253[[#This Row],[Course]]= "","",IFERROR(VLOOKUP(Table92839495253[[#This Row],[Course]],COURSELIST[],4,FALSE),""))</f>
        <v/>
      </c>
      <c r="AK34" s="3"/>
      <c r="AL34" s="3" t="str">
        <f>IF(Table92839495253[[#This Row],[Course]]= "","",IFERROR(VLOOKUP(Table92839495253[[#This Row],[Course]],COURSELIST[],6,FALSE),""))</f>
        <v/>
      </c>
      <c r="AM34" s="3" t="str">
        <f>IF(Table92839495253[[#This Row],[Course]]= "","",IFERROR(VLOOKUP(Table92839495253[[#This Row],[Course]],COURSELIST[],7,FALSE),""))</f>
        <v/>
      </c>
      <c r="AN34" s="3" t="str">
        <f>IF(Table92839495253[[#This Row],[Course]]= "","",IFERROR(VLOOKUP(Table92839495253[[#This Row],[Course]],COURSELIST[],8,FALSE),""))</f>
        <v/>
      </c>
    </row>
    <row r="35" spans="1:40" s="5" customFormat="1" ht="15.75" outlineLevel="1" thickBot="1">
      <c r="B35" s="171"/>
      <c r="C35" s="26" t="s">
        <v>155</v>
      </c>
      <c r="D35" s="3" t="str">
        <f>IF(Table42334[[#This Row],[Course]]= "","",IFERROR(VLOOKUP(Table42334[[#This Row],[Course]],COURSELIST[],2,FALSE),"Course Not Found!"))</f>
        <v>COMPSCI 476 SOFTWARE ENGINEERING</v>
      </c>
      <c r="E35" s="3" t="str">
        <f>IF(Table42334[[#This Row],[Course]]= "","",IFERROR(VLOOKUP(Table42334[[#This Row],[Course]],COURSELIST[],3,FALSE),""))</f>
        <v>CompSci</v>
      </c>
      <c r="F35" s="3">
        <f>IF(Table42334[[#This Row],[Course]]= "","",IFERROR(VLOOKUP(Table42334[[#This Row],[Course]],COURSELIST[],4,FALSE),""))</f>
        <v>3</v>
      </c>
      <c r="G35" s="3"/>
      <c r="H35" s="3" t="str">
        <f>IF(Table42334[[#This Row],[Course]]= "","",IFERROR(VLOOKUP(Table42334[[#This Row],[Course]],COURSELIST[],6,FALSE),""))</f>
        <v>y</v>
      </c>
      <c r="I35" s="3" t="str">
        <f>IF(Table42334[[#This Row],[Course]]= "","",IFERROR(VLOOKUP(Table42334[[#This Row],[Course]],COURSELIST[],7,FALSE),""))</f>
        <v>n</v>
      </c>
      <c r="J35" s="3">
        <f>IF(Table42334[[#This Row],[Course]]= "","",IFERROR(VLOOKUP(Table42334[[#This Row],[Course]],COURSELIST[],8,FALSE),""))</f>
        <v>0</v>
      </c>
      <c r="K35" s="3"/>
      <c r="L35" s="171"/>
      <c r="M35" s="17" t="s">
        <v>228</v>
      </c>
      <c r="N35" s="3" t="str">
        <f>IF(Table133243[[#This Row],[Course]]= "","",IFERROR(VLOOKUP(Table133243[[#This Row],[Course]],COURSELIST[],2,FALSE),"Course Not Found!"))</f>
        <v>S15  UD Organizational Behavior</v>
      </c>
      <c r="O35" s="3" t="str">
        <f>IF(Table133243[[#This Row],[Course]]= "","",IFERROR(VLOOKUP(Table133243[[#This Row],[Course]],COURSELIST[],3,FALSE),""))</f>
        <v>IT</v>
      </c>
      <c r="P35" s="3">
        <f>IF(Table133243[[#This Row],[Course]]= "","",IFERROR(VLOOKUP(Table133243[[#This Row],[Course]],COURSELIST[],4,FALSE),""))</f>
        <v>3</v>
      </c>
      <c r="Q35" s="3"/>
      <c r="R35" s="3" t="str">
        <f>IF(Table133243[[#This Row],[Course]]= "","",IFERROR(VLOOKUP(Table133243[[#This Row],[Course]],COURSELIST[],6,FALSE),""))</f>
        <v>n</v>
      </c>
      <c r="S35" s="3" t="str">
        <f>IF(Table133243[[#This Row],[Course]]= "","",IFERROR(VLOOKUP(Table133243[[#This Row],[Course]],COURSELIST[],7,FALSE),""))</f>
        <v>n</v>
      </c>
      <c r="T35" s="3">
        <f>IF(Table133243[[#This Row],[Course]]= "","",IFERROR(VLOOKUP(Table133243[[#This Row],[Course]],COURSELIST[],8,FALSE),""))</f>
        <v>0</v>
      </c>
      <c r="U35" s="3"/>
      <c r="V35" s="171"/>
      <c r="W35" s="17" t="s">
        <v>205</v>
      </c>
      <c r="X35" s="3" t="str">
        <f>IF(Table82738[[#This Row],[Course]]= "","",IFERROR(VLOOKUP(Table82738[[#This Row],[Course]],COURSELIST[],2,FALSE),"Course Not Found!"))</f>
        <v>ITSCM 495 Emerging Technologies</v>
      </c>
      <c r="Y35" s="3" t="str">
        <f>IF(Table82738[[#This Row],[Course]]= "","",IFERROR(VLOOKUP(Table82738[[#This Row],[Course]],COURSELIST[],3,FALSE),""))</f>
        <v>IT</v>
      </c>
      <c r="Z35" s="3">
        <f>IF(Table82738[[#This Row],[Course]]= "","",IFERROR(VLOOKUP(Table82738[[#This Row],[Course]],COURSELIST[],4,FALSE),""))</f>
        <v>3</v>
      </c>
      <c r="AA35" s="3"/>
      <c r="AB35" s="3" t="str">
        <f>IF(Table82738[[#This Row],[Course]]= "","",IFERROR(VLOOKUP(Table82738[[#This Row],[Course]],COURSELIST[],6,FALSE),""))</f>
        <v>n</v>
      </c>
      <c r="AC35" s="3" t="str">
        <f>IF(Table82738[[#This Row],[Course]]= "","",IFERROR(VLOOKUP(Table82738[[#This Row],[Course]],COURSELIST[],7,FALSE),""))</f>
        <v>n</v>
      </c>
      <c r="AD35" s="3">
        <f>IF(Table82738[[#This Row],[Course]]= "","",IFERROR(VLOOKUP(Table82738[[#This Row],[Course]],COURSELIST[],8,FALSE),""))</f>
        <v>0</v>
      </c>
      <c r="AF35" s="171"/>
      <c r="AG35" s="17"/>
      <c r="AH35" s="3" t="str">
        <f>IF(Table92839495253[[#This Row],[Course]]= "","",IFERROR(VLOOKUP(Table92839495253[[#This Row],[Course]],COURSELIST[],2,FALSE),"Course Not Found!"))</f>
        <v/>
      </c>
      <c r="AI35" s="3" t="str">
        <f>IF(Table92839495253[[#This Row],[Course]]= "","",IFERROR(VLOOKUP(Table92839495253[[#This Row],[Course]],COURSELIST[],3,FALSE),""))</f>
        <v/>
      </c>
      <c r="AJ35" s="3" t="str">
        <f>IF(Table92839495253[[#This Row],[Course]]= "","",IFERROR(VLOOKUP(Table92839495253[[#This Row],[Course]],COURSELIST[],4,FALSE),""))</f>
        <v/>
      </c>
      <c r="AK35" s="3"/>
      <c r="AL35" s="3" t="str">
        <f>IF(Table92839495253[[#This Row],[Course]]= "","",IFERROR(VLOOKUP(Table92839495253[[#This Row],[Course]],COURSELIST[],6,FALSE),""))</f>
        <v/>
      </c>
      <c r="AM35" s="3" t="str">
        <f>IF(Table92839495253[[#This Row],[Course]]= "","",IFERROR(VLOOKUP(Table92839495253[[#This Row],[Course]],COURSELIST[],7,FALSE),""))</f>
        <v/>
      </c>
      <c r="AN35" s="3" t="str">
        <f>IF(Table92839495253[[#This Row],[Course]]= "","",IFERROR(VLOOKUP(Table92839495253[[#This Row],[Course]],COURSELIST[],8,FALSE),""))</f>
        <v/>
      </c>
    </row>
    <row r="36" spans="1:40" s="5" customFormat="1" ht="15.75" outlineLevel="1" thickBot="1">
      <c r="B36" s="171"/>
      <c r="C36" s="26" t="s">
        <v>159</v>
      </c>
      <c r="D36" s="3" t="str">
        <f>IF(Table42334[[#This Row],[Course]]= "","",IFERROR(VLOOKUP(Table42334[[#This Row],[Course]],COURSELIST[],2,FALSE),"Course Not Found!"))</f>
        <v>CompSci 332 Intro to AI</v>
      </c>
      <c r="E36" s="3" t="str">
        <f>IF(Table42334[[#This Row],[Course]]= "","",IFERROR(VLOOKUP(Table42334[[#This Row],[Course]],COURSELIST[],3,FALSE),""))</f>
        <v>CompSci</v>
      </c>
      <c r="F36" s="3">
        <f>IF(Table42334[[#This Row],[Course]]= "","",IFERROR(VLOOKUP(Table42334[[#This Row],[Course]],COURSELIST[],4,FALSE),""))</f>
        <v>3</v>
      </c>
      <c r="G36" s="3"/>
      <c r="H36" s="3" t="str">
        <f>IF(Table42334[[#This Row],[Course]]= "","",IFERROR(VLOOKUP(Table42334[[#This Row],[Course]],COURSELIST[],6,FALSE),""))</f>
        <v>y</v>
      </c>
      <c r="I36" s="3" t="str">
        <f>IF(Table42334[[#This Row],[Course]]= "","",IFERROR(VLOOKUP(Table42334[[#This Row],[Course]],COURSELIST[],7,FALSE),""))</f>
        <v>n</v>
      </c>
      <c r="J36" s="3">
        <f>IF(Table42334[[#This Row],[Course]]= "","",IFERROR(VLOOKUP(Table42334[[#This Row],[Course]],COURSELIST[],8,FALSE),""))</f>
        <v>0</v>
      </c>
      <c r="K36" s="3"/>
      <c r="L36" s="171"/>
      <c r="M36" s="17"/>
      <c r="N36" s="3" t="str">
        <f>IF(Table133243[[#This Row],[Course]]= "","",IFERROR(VLOOKUP(Table133243[[#This Row],[Course]],COURSELIST[],2,FALSE),"Course Not Found!"))</f>
        <v/>
      </c>
      <c r="O36" s="3" t="str">
        <f>IF(Table133243[[#This Row],[Course]]= "","",IFERROR(VLOOKUP(Table133243[[#This Row],[Course]],COURSELIST[],3,FALSE),""))</f>
        <v/>
      </c>
      <c r="P36" s="3" t="str">
        <f>IF(Table133243[[#This Row],[Course]]= "","",IFERROR(VLOOKUP(Table133243[[#This Row],[Course]],COURSELIST[],4,FALSE),""))</f>
        <v/>
      </c>
      <c r="Q36" s="3"/>
      <c r="R36" s="3" t="str">
        <f>IF(Table133243[[#This Row],[Course]]= "","",IFERROR(VLOOKUP(Table133243[[#This Row],[Course]],COURSELIST[],6,FALSE),""))</f>
        <v/>
      </c>
      <c r="S36" s="3" t="str">
        <f>IF(Table133243[[#This Row],[Course]]= "","",IFERROR(VLOOKUP(Table133243[[#This Row],[Course]],COURSELIST[],7,FALSE),""))</f>
        <v/>
      </c>
      <c r="T36" s="3" t="str">
        <f>IF(Table133243[[#This Row],[Course]]= "","",IFERROR(VLOOKUP(Table133243[[#This Row],[Course]],COURSELIST[],8,FALSE),""))</f>
        <v/>
      </c>
      <c r="V36" s="171"/>
      <c r="W36" s="26" t="s">
        <v>203</v>
      </c>
      <c r="X36" s="3" t="str">
        <f>IF(Table82738[[#This Row],[Course]]= "","",IFERROR(VLOOKUP(Table82738[[#This Row],[Course]],COURSELIST[],2,FALSE),"Course Not Found!"))</f>
        <v>ITSCM 314 Advanced Database Design -Business Analysis Emph</v>
      </c>
      <c r="Y36" s="3" t="str">
        <f>IF(Table82738[[#This Row],[Course]]= "","",IFERROR(VLOOKUP(Table82738[[#This Row],[Course]],COURSELIST[],3,FALSE),""))</f>
        <v>IT</v>
      </c>
      <c r="Z36" s="3">
        <f>IF(Table82738[[#This Row],[Course]]= "","",IFERROR(VLOOKUP(Table82738[[#This Row],[Course]],COURSELIST[],4,FALSE),""))</f>
        <v>3</v>
      </c>
      <c r="AA36" s="3"/>
      <c r="AB36" s="3" t="str">
        <f>IF(Table82738[[#This Row],[Course]]= "","",IFERROR(VLOOKUP(Table82738[[#This Row],[Course]],COURSELIST[],6,FALSE),""))</f>
        <v>n</v>
      </c>
      <c r="AC36" s="3" t="str">
        <f>IF(Table82738[[#This Row],[Course]]= "","",IFERROR(VLOOKUP(Table82738[[#This Row],[Course]],COURSELIST[],7,FALSE),""))</f>
        <v>n</v>
      </c>
      <c r="AD36" s="3">
        <f>IF(Table82738[[#This Row],[Course]]= "","",IFERROR(VLOOKUP(Table82738[[#This Row],[Course]],COURSELIST[],8,FALSE),""))</f>
        <v>0</v>
      </c>
      <c r="AF36" s="171"/>
      <c r="AG36" s="12"/>
      <c r="AH36" s="3" t="str">
        <f>IF(Table92839495253[[#This Row],[Course]]= "","",IFERROR(VLOOKUP(Table92839495253[[#This Row],[Course]],COURSELIST[],2,FALSE),"Course Not Found!"))</f>
        <v/>
      </c>
      <c r="AI36" s="3" t="str">
        <f>IF(Table92839495253[[#This Row],[Course]]= "","",IFERROR(VLOOKUP(Table92839495253[[#This Row],[Course]],COURSELIST[],3,FALSE),""))</f>
        <v/>
      </c>
      <c r="AJ36" s="3" t="str">
        <f>IF(Table92839495253[[#This Row],[Course]]= "","",IFERROR(VLOOKUP(Table92839495253[[#This Row],[Course]],COURSELIST[],4,FALSE),""))</f>
        <v/>
      </c>
      <c r="AK36" s="3"/>
      <c r="AL36" s="3" t="str">
        <f>IF(Table92839495253[[#This Row],[Course]]= "","",IFERROR(VLOOKUP(Table92839495253[[#This Row],[Course]],COURSELIST[],6,FALSE),""))</f>
        <v/>
      </c>
      <c r="AM36" s="3" t="str">
        <f>IF(Table92839495253[[#This Row],[Course]]= "","",IFERROR(VLOOKUP(Table92839495253[[#This Row],[Course]],COURSELIST[],7,FALSE),""))</f>
        <v/>
      </c>
      <c r="AN36" s="3" t="str">
        <f>IF(Table92839495253[[#This Row],[Course]]= "","",IFERROR(VLOOKUP(Table92839495253[[#This Row],[Course]],COURSELIST[],8,FALSE),""))</f>
        <v/>
      </c>
    </row>
    <row r="37" spans="1:40" ht="15.75" outlineLevel="1" thickBot="1">
      <c r="B37" s="171"/>
      <c r="C37" s="26" t="s">
        <v>157</v>
      </c>
      <c r="D37" s="3" t="str">
        <f>IF(Table42334[[#This Row],[Course]]= "","",IFERROR(VLOOKUP(Table42334[[#This Row],[Course]],COURSELIST[],2,FALSE),"Course Not Found!"))</f>
        <v>History 125 - American Hist since 1877</v>
      </c>
      <c r="E37" s="3" t="str">
        <f>IF(Table42334[[#This Row],[Course]]= "","",IFERROR(VLOOKUP(Table42334[[#This Row],[Course]],COURSELIST[],3,FALSE),""))</f>
        <v>Both</v>
      </c>
      <c r="F37" s="3">
        <f>IF(Table42334[[#This Row],[Course]]= "","",IFERROR(VLOOKUP(Table42334[[#This Row],[Course]],COURSELIST[],4,FALSE),""))</f>
        <v>3</v>
      </c>
      <c r="H37" s="3" t="str">
        <f>IF(Table42334[[#This Row],[Course]]= "","",IFERROR(VLOOKUP(Table42334[[#This Row],[Course]],COURSELIST[],6,FALSE),""))</f>
        <v>y</v>
      </c>
      <c r="I37" s="3" t="str">
        <f>IF(Table42334[[#This Row],[Course]]= "","",IFERROR(VLOOKUP(Table42334[[#This Row],[Course]],COURSELIST[],7,FALSE),""))</f>
        <v>n</v>
      </c>
      <c r="J37" s="3">
        <f>IF(Table42334[[#This Row],[Course]]= "","",IFERROR(VLOOKUP(Table42334[[#This Row],[Course]],COURSELIST[],8,FALSE),""))</f>
        <v>0</v>
      </c>
      <c r="L37" s="171"/>
      <c r="M37" s="17"/>
      <c r="N37" s="3" t="str">
        <f>IF(Table133243[[#This Row],[Course]]= "","",IFERROR(VLOOKUP(Table133243[[#This Row],[Course]],COURSELIST[],2,FALSE),"Course Not Found!"))</f>
        <v/>
      </c>
      <c r="O37" s="3" t="str">
        <f>IF(Table133243[[#This Row],[Course]]= "","",IFERROR(VLOOKUP(Table133243[[#This Row],[Course]],COURSELIST[],3,FALSE),""))</f>
        <v/>
      </c>
      <c r="P37" s="3" t="str">
        <f>IF(Table133243[[#This Row],[Course]]= "","",IFERROR(VLOOKUP(Table133243[[#This Row],[Course]],COURSELIST[],4,FALSE),""))</f>
        <v/>
      </c>
      <c r="R37" s="3" t="str">
        <f>IF(Table133243[[#This Row],[Course]]= "","",IFERROR(VLOOKUP(Table133243[[#This Row],[Course]],COURSELIST[],6,FALSE),""))</f>
        <v/>
      </c>
      <c r="S37" s="3" t="str">
        <f>IF(Table133243[[#This Row],[Course]]= "","",IFERROR(VLOOKUP(Table133243[[#This Row],[Course]],COURSELIST[],7,FALSE),""))</f>
        <v/>
      </c>
      <c r="T37" s="3" t="str">
        <f>IF(Table133243[[#This Row],[Course]]= "","",IFERROR(VLOOKUP(Table133243[[#This Row],[Course]],COURSELIST[],8,FALSE),""))</f>
        <v/>
      </c>
      <c r="V37" s="171"/>
      <c r="W37" s="26" t="s">
        <v>199</v>
      </c>
      <c r="X37" s="3" t="str">
        <f>IF(Table82738[[#This Row],[Course]]= "","",IFERROR(VLOOKUP(Table82738[[#This Row],[Course]],COURSELIST[],2,FALSE),"Course Not Found!"))</f>
        <v>THEORY OF ALGORITHMS</v>
      </c>
      <c r="Y37" s="3" t="str">
        <f>IF(Table82738[[#This Row],[Course]]= "","",IFERROR(VLOOKUP(Table82738[[#This Row],[Course]],COURSELIST[],3,FALSE),""))</f>
        <v>CompSci</v>
      </c>
      <c r="Z37" s="3">
        <f>IF(Table82738[[#This Row],[Course]]= "","",IFERROR(VLOOKUP(Table82738[[#This Row],[Course]],COURSELIST[],4,FALSE),""))</f>
        <v>3</v>
      </c>
      <c r="AB37" s="3" t="str">
        <f>IF(Table82738[[#This Row],[Course]]= "","",IFERROR(VLOOKUP(Table82738[[#This Row],[Course]],COURSELIST[],6,FALSE),""))</f>
        <v>n</v>
      </c>
      <c r="AC37" s="3" t="str">
        <f>IF(Table82738[[#This Row],[Course]]= "","",IFERROR(VLOOKUP(Table82738[[#This Row],[Course]],COURSELIST[],7,FALSE),""))</f>
        <v>n</v>
      </c>
      <c r="AD37" s="3">
        <f>IF(Table82738[[#This Row],[Course]]= "","",IFERROR(VLOOKUP(Table82738[[#This Row],[Course]],COURSELIST[],8,FALSE),""))</f>
        <v>0</v>
      </c>
      <c r="AF37" s="171"/>
      <c r="AG37" s="90"/>
      <c r="AH37" s="3" t="str">
        <f>IF(Table92839495253[[#This Row],[Course]]= "","",IFERROR(VLOOKUP(Table92839495253[[#This Row],[Course]],COURSELIST[],2,FALSE),"Course Not Found!"))</f>
        <v/>
      </c>
      <c r="AI37" s="3" t="str">
        <f>IF(Table92839495253[[#This Row],[Course]]= "","",IFERROR(VLOOKUP(Table92839495253[[#This Row],[Course]],COURSELIST[],3,FALSE),""))</f>
        <v/>
      </c>
      <c r="AJ37" s="3" t="str">
        <f>IF(Table92839495253[[#This Row],[Course]]= "","",IFERROR(VLOOKUP(Table92839495253[[#This Row],[Course]],COURSELIST[],4,FALSE),""))</f>
        <v/>
      </c>
      <c r="AL37" s="3" t="str">
        <f>IF(Table92839495253[[#This Row],[Course]]= "","",IFERROR(VLOOKUP(Table92839495253[[#This Row],[Course]],COURSELIST[],6,FALSE),""))</f>
        <v/>
      </c>
      <c r="AM37" s="3" t="str">
        <f>IF(Table92839495253[[#This Row],[Course]]= "","",IFERROR(VLOOKUP(Table92839495253[[#This Row],[Course]],COURSELIST[],7,FALSE),""))</f>
        <v/>
      </c>
      <c r="AN37" s="3" t="str">
        <f>IF(Table92839495253[[#This Row],[Course]]= "","",IFERROR(VLOOKUP(Table92839495253[[#This Row],[Course]],COURSELIST[],8,FALSE),""))</f>
        <v/>
      </c>
    </row>
    <row r="38" spans="1:40" ht="15.75" outlineLevel="1" thickBot="1">
      <c r="B38" s="171"/>
      <c r="C38" s="26" t="s">
        <v>153</v>
      </c>
      <c r="D38" s="3" t="str">
        <f>IF(Table42334[[#This Row],[Course]]= "","",IFERROR(VLOOKUP(Table42334[[#This Row],[Course]],COURSELIST[],2,FALSE),"Course Not Found!"))</f>
        <v>Speech and Comm Try for Winterim</v>
      </c>
      <c r="E38" s="3" t="str">
        <f>IF(Table42334[[#This Row],[Course]]= "","",IFERROR(VLOOKUP(Table42334[[#This Row],[Course]],COURSELIST[],3,FALSE),""))</f>
        <v>Both</v>
      </c>
      <c r="F38" s="3">
        <f>IF(Table42334[[#This Row],[Course]]= "","",IFERROR(VLOOKUP(Table42334[[#This Row],[Course]],COURSELIST[],4,FALSE),""))</f>
        <v>3</v>
      </c>
      <c r="H38" s="3" t="str">
        <f>IF(Table42334[[#This Row],[Course]]= "","",IFERROR(VLOOKUP(Table42334[[#This Row],[Course]],COURSELIST[],6,FALSE),""))</f>
        <v>y</v>
      </c>
      <c r="I38" s="3" t="str">
        <f>IF(Table42334[[#This Row],[Course]]= "","",IFERROR(VLOOKUP(Table42334[[#This Row],[Course]],COURSELIST[],7,FALSE),""))</f>
        <v>n</v>
      </c>
      <c r="J38" s="3">
        <f>IF(Table42334[[#This Row],[Course]]= "","",IFERROR(VLOOKUP(Table42334[[#This Row],[Course]],COURSELIST[],8,FALSE),""))</f>
        <v>0</v>
      </c>
      <c r="L38" s="171"/>
      <c r="M38" s="17"/>
      <c r="N38" s="3" t="str">
        <f>IF(Table133243[[#This Row],[Course]]= "","",IFERROR(VLOOKUP(Table133243[[#This Row],[Course]],COURSELIST[],2,FALSE),"Course Not Found!"))</f>
        <v/>
      </c>
      <c r="O38" s="3" t="str">
        <f>IF(Table133243[[#This Row],[Course]]= "","",IFERROR(VLOOKUP(Table133243[[#This Row],[Course]],COURSELIST[],3,FALSE),""))</f>
        <v/>
      </c>
      <c r="P38" s="3" t="str">
        <f>IF(Table133243[[#This Row],[Course]]= "","",IFERROR(VLOOKUP(Table133243[[#This Row],[Course]],COURSELIST[],4,FALSE),""))</f>
        <v/>
      </c>
      <c r="R38" s="3" t="str">
        <f>IF(Table133243[[#This Row],[Course]]= "","",IFERROR(VLOOKUP(Table133243[[#This Row],[Course]],COURSELIST[],6,FALSE),""))</f>
        <v/>
      </c>
      <c r="S38" s="3" t="str">
        <f>IF(Table133243[[#This Row],[Course]]= "","",IFERROR(VLOOKUP(Table133243[[#This Row],[Course]],COURSELIST[],7,FALSE),""))</f>
        <v/>
      </c>
      <c r="T38" s="3" t="str">
        <f>IF(Table133243[[#This Row],[Course]]= "","",IFERROR(VLOOKUP(Table133243[[#This Row],[Course]],COURSELIST[],8,FALSE),""))</f>
        <v/>
      </c>
      <c r="V38" s="171"/>
      <c r="W38" s="26" t="s">
        <v>196</v>
      </c>
      <c r="X38" s="3" t="str">
        <f>IF(Table82738[[#This Row],[Course]]= "","",IFERROR(VLOOKUP(Table82738[[#This Row],[Course]],COURSELIST[],2,FALSE),"Course Not Found!"))</f>
        <v>ITSCM 321 Systems Analysis and Design</v>
      </c>
      <c r="Y38" s="3" t="str">
        <f>IF(Table82738[[#This Row],[Course]]= "","",IFERROR(VLOOKUP(Table82738[[#This Row],[Course]],COURSELIST[],3,FALSE),""))</f>
        <v>IT</v>
      </c>
      <c r="Z38" s="3">
        <f>IF(Table82738[[#This Row],[Course]]= "","",IFERROR(VLOOKUP(Table82738[[#This Row],[Course]],COURSELIST[],4,FALSE),""))</f>
        <v>3</v>
      </c>
      <c r="AB38" s="3" t="str">
        <f>IF(Table82738[[#This Row],[Course]]= "","",IFERROR(VLOOKUP(Table82738[[#This Row],[Course]],COURSELIST[],6,FALSE),""))</f>
        <v>n</v>
      </c>
      <c r="AC38" s="3" t="str">
        <f>IF(Table82738[[#This Row],[Course]]= "","",IFERROR(VLOOKUP(Table82738[[#This Row],[Course]],COURSELIST[],7,FALSE),""))</f>
        <v>n</v>
      </c>
      <c r="AD38" s="3">
        <f>IF(Table82738[[#This Row],[Course]]= "","",IFERROR(VLOOKUP(Table82738[[#This Row],[Course]],COURSELIST[],8,FALSE),""))</f>
        <v>0</v>
      </c>
      <c r="AF38" s="171"/>
      <c r="AG38" s="90"/>
      <c r="AH38" s="3" t="str">
        <f>IF(Table92839495253[[#This Row],[Course]]= "","",IFERROR(VLOOKUP(Table92839495253[[#This Row],[Course]],COURSELIST[],2,FALSE),"Course Not Found!"))</f>
        <v/>
      </c>
      <c r="AI38" s="3" t="str">
        <f>IF(Table92839495253[[#This Row],[Course]]= "","",IFERROR(VLOOKUP(Table92839495253[[#This Row],[Course]],COURSELIST[],3,FALSE),""))</f>
        <v/>
      </c>
      <c r="AJ38" s="3" t="str">
        <f>IF(Table92839495253[[#This Row],[Course]]= "","",IFERROR(VLOOKUP(Table92839495253[[#This Row],[Course]],COURSELIST[],4,FALSE),""))</f>
        <v/>
      </c>
      <c r="AL38" s="3" t="str">
        <f>IF(Table92839495253[[#This Row],[Course]]= "","",IFERROR(VLOOKUP(Table92839495253[[#This Row],[Course]],COURSELIST[],6,FALSE),""))</f>
        <v/>
      </c>
      <c r="AM38" s="3" t="str">
        <f>IF(Table92839495253[[#This Row],[Course]]= "","",IFERROR(VLOOKUP(Table92839495253[[#This Row],[Course]],COURSELIST[],7,FALSE),""))</f>
        <v/>
      </c>
      <c r="AN38" s="3" t="str">
        <f>IF(Table92839495253[[#This Row],[Course]]= "","",IFERROR(VLOOKUP(Table92839495253[[#This Row],[Course]],COURSELIST[],8,FALSE),""))</f>
        <v/>
      </c>
    </row>
    <row r="39" spans="1:40" ht="15.75" outlineLevel="1" thickBot="1">
      <c r="B39" s="171"/>
      <c r="C39" s="26"/>
      <c r="D39" s="3" t="str">
        <f>IF(Table42334[[#This Row],[Course]]= "","",IFERROR(VLOOKUP(Table42334[[#This Row],[Course]],COURSELIST[],2,FALSE),"Course Not Found!"))</f>
        <v/>
      </c>
      <c r="E39" s="3" t="str">
        <f>IF(Table42334[[#This Row],[Course]]= "","",IFERROR(VLOOKUP(Table42334[[#This Row],[Course]],COURSELIST[],3,FALSE),""))</f>
        <v/>
      </c>
      <c r="F39" s="3" t="str">
        <f>IF(Table42334[[#This Row],[Course]]= "","",IFERROR(VLOOKUP(Table42334[[#This Row],[Course]],COURSELIST[],4,FALSE),""))</f>
        <v/>
      </c>
      <c r="H39" s="3" t="str">
        <f>IF(Table42334[[#This Row],[Course]]= "","",IFERROR(VLOOKUP(Table42334[[#This Row],[Course]],COURSELIST[],6,FALSE),""))</f>
        <v/>
      </c>
      <c r="I39" s="3" t="str">
        <f>IF(Table42334[[#This Row],[Course]]= "","",IFERROR(VLOOKUP(Table42334[[#This Row],[Course]],COURSELIST[],7,FALSE),""))</f>
        <v/>
      </c>
      <c r="J39" s="3" t="str">
        <f>IF(Table42334[[#This Row],[Course]]= "","",IFERROR(VLOOKUP(Table42334[[#This Row],[Course]],COURSELIST[],8,FALSE),""))</f>
        <v/>
      </c>
      <c r="K39" s="5"/>
      <c r="L39" s="171"/>
      <c r="M39" s="17"/>
      <c r="N39" s="3" t="str">
        <f>IF(Table133243[[#This Row],[Course]]= "","",IFERROR(VLOOKUP(Table133243[[#This Row],[Course]],COURSELIST[],2,FALSE),"Course Not Found!"))</f>
        <v/>
      </c>
      <c r="O39" s="3" t="str">
        <f>IF(Table133243[[#This Row],[Course]]= "","",IFERROR(VLOOKUP(Table133243[[#This Row],[Course]],COURSELIST[],3,FALSE),""))</f>
        <v/>
      </c>
      <c r="P39" s="3" t="str">
        <f>IF(Table133243[[#This Row],[Course]]= "","",IFERROR(VLOOKUP(Table133243[[#This Row],[Course]],COURSELIST[],4,FALSE),""))</f>
        <v/>
      </c>
      <c r="R39" s="3" t="str">
        <f>IF(Table133243[[#This Row],[Course]]= "","",IFERROR(VLOOKUP(Table133243[[#This Row],[Course]],COURSELIST[],6,FALSE),""))</f>
        <v/>
      </c>
      <c r="S39" s="3" t="str">
        <f>IF(Table133243[[#This Row],[Course]]= "","",IFERROR(VLOOKUP(Table133243[[#This Row],[Course]],COURSELIST[],7,FALSE),""))</f>
        <v/>
      </c>
      <c r="T39" s="3" t="str">
        <f>IF(Table133243[[#This Row],[Course]]= "","",IFERROR(VLOOKUP(Table133243[[#This Row],[Course]],COURSELIST[],8,FALSE),""))</f>
        <v/>
      </c>
      <c r="U39" s="5"/>
      <c r="V39" s="171"/>
      <c r="W39" s="26"/>
      <c r="X39" s="3" t="str">
        <f>IF(Table82738[[#This Row],[Course]]= "","",IFERROR(VLOOKUP(Table82738[[#This Row],[Course]],COURSELIST[],2,FALSE),"Course Not Found!"))</f>
        <v/>
      </c>
      <c r="Y39" s="3" t="str">
        <f>IF(Table82738[[#This Row],[Course]]= "","",IFERROR(VLOOKUP(Table82738[[#This Row],[Course]],COURSELIST[],3,FALSE),""))</f>
        <v/>
      </c>
      <c r="Z39" s="3" t="str">
        <f>IF(Table82738[[#This Row],[Course]]= "","",IFERROR(VLOOKUP(Table82738[[#This Row],[Course]],COURSELIST[],4,FALSE),""))</f>
        <v/>
      </c>
      <c r="AB39" s="3" t="str">
        <f>IF(Table82738[[#This Row],[Course]]= "","",IFERROR(VLOOKUP(Table82738[[#This Row],[Course]],COURSELIST[],6,FALSE),""))</f>
        <v/>
      </c>
      <c r="AC39" s="3" t="str">
        <f>IF(Table82738[[#This Row],[Course]]= "","",IFERROR(VLOOKUP(Table82738[[#This Row],[Course]],COURSELIST[],7,FALSE),""))</f>
        <v/>
      </c>
      <c r="AD39" s="3" t="str">
        <f>IF(Table82738[[#This Row],[Course]]= "","",IFERROR(VLOOKUP(Table82738[[#This Row],[Course]],COURSELIST[],8,FALSE),""))</f>
        <v/>
      </c>
      <c r="AF39" s="171"/>
      <c r="AG39" s="91"/>
      <c r="AH39" s="3" t="str">
        <f>IF(Table92839495253[[#This Row],[Course]]= "","",IFERROR(VLOOKUP(Table92839495253[[#This Row],[Course]],COURSELIST[],2,FALSE),"Course Not Found!"))</f>
        <v/>
      </c>
      <c r="AI39" s="3" t="str">
        <f>IF(Table92839495253[[#This Row],[Course]]= "","",IFERROR(VLOOKUP(Table92839495253[[#This Row],[Course]],COURSELIST[],3,FALSE),""))</f>
        <v/>
      </c>
      <c r="AJ39" s="3" t="str">
        <f>IF(Table92839495253[[#This Row],[Course]]= "","",IFERROR(VLOOKUP(Table92839495253[[#This Row],[Course]],COURSELIST[],4,FALSE),""))</f>
        <v/>
      </c>
      <c r="AL39" s="3" t="str">
        <f>IF(Table92839495253[[#This Row],[Course]]= "","",IFERROR(VLOOKUP(Table92839495253[[#This Row],[Course]],COURSELIST[],6,FALSE),""))</f>
        <v/>
      </c>
      <c r="AM39" s="3" t="str">
        <f>IF(Table92839495253[[#This Row],[Course]]= "","",IFERROR(VLOOKUP(Table92839495253[[#This Row],[Course]],COURSELIST[],7,FALSE),""))</f>
        <v/>
      </c>
      <c r="AN39" s="3" t="str">
        <f>IF(Table92839495253[[#This Row],[Course]]= "","",IFERROR(VLOOKUP(Table92839495253[[#This Row],[Course]],COURSELIST[],8,FALSE),""))</f>
        <v/>
      </c>
    </row>
    <row r="40" spans="1:40" outlineLevel="1">
      <c r="C40" s="5"/>
      <c r="D40" s="5"/>
      <c r="E40" s="3" t="s">
        <v>10</v>
      </c>
      <c r="F40" s="3">
        <f>SUM(F33:F39)</f>
        <v>12</v>
      </c>
      <c r="I40" s="3" t="s">
        <v>27</v>
      </c>
      <c r="J40" s="3">
        <f>SUM(J33:J39)</f>
        <v>0</v>
      </c>
      <c r="O40" s="3" t="s">
        <v>10</v>
      </c>
      <c r="P40" s="3">
        <f>SUM(P33:P39)</f>
        <v>9</v>
      </c>
      <c r="S40" s="3" t="s">
        <v>27</v>
      </c>
      <c r="T40" s="3">
        <f>SUM(T33:T39)</f>
        <v>0</v>
      </c>
      <c r="Y40" s="3" t="s">
        <v>10</v>
      </c>
      <c r="Z40" s="3">
        <f>SUM(Z33:Z39)</f>
        <v>18</v>
      </c>
      <c r="AC40" s="3" t="s">
        <v>27</v>
      </c>
      <c r="AD40" s="3">
        <f>SUM(AD33:AD39)</f>
        <v>0</v>
      </c>
      <c r="AI40" s="3" t="s">
        <v>10</v>
      </c>
      <c r="AJ40" s="3">
        <f>SUM(AJ33:AJ39)</f>
        <v>3</v>
      </c>
      <c r="AM40" s="3" t="s">
        <v>27</v>
      </c>
      <c r="AN40" s="3">
        <f>SUM(AN33:AN39)</f>
        <v>0</v>
      </c>
    </row>
    <row r="41" spans="1:40" outlineLevel="1">
      <c r="E41" s="3" t="s">
        <v>18</v>
      </c>
      <c r="F41" s="3">
        <f>F40+AJ27</f>
        <v>95</v>
      </c>
      <c r="I41" s="3" t="s">
        <v>17</v>
      </c>
      <c r="J41" s="3">
        <f>J40+AN27</f>
        <v>238.58</v>
      </c>
      <c r="O41" s="3" t="s">
        <v>18</v>
      </c>
      <c r="P41" s="3">
        <f>P40+F41</f>
        <v>104</v>
      </c>
      <c r="S41" s="3" t="s">
        <v>17</v>
      </c>
      <c r="T41" s="3">
        <f>T40+J41</f>
        <v>238.58</v>
      </c>
      <c r="Y41" s="3" t="s">
        <v>18</v>
      </c>
      <c r="Z41" s="3">
        <f>Z40+P41</f>
        <v>122</v>
      </c>
      <c r="AC41" s="3" t="s">
        <v>17</v>
      </c>
      <c r="AD41" s="3">
        <f>AD40+T41</f>
        <v>238.58</v>
      </c>
      <c r="AI41" s="3" t="s">
        <v>18</v>
      </c>
      <c r="AJ41" s="3">
        <f>AJ40+Z41</f>
        <v>125</v>
      </c>
      <c r="AM41" s="3" t="s">
        <v>17</v>
      </c>
      <c r="AN41" s="3">
        <f>AN40+AD41</f>
        <v>238.58</v>
      </c>
    </row>
    <row r="42" spans="1:40" s="24" customFormat="1" ht="21" outlineLevel="1">
      <c r="C42" s="3"/>
      <c r="D42" s="3"/>
      <c r="E42" s="5" t="s">
        <v>19</v>
      </c>
      <c r="F42" s="5">
        <f>F40+AJ28</f>
        <v>84</v>
      </c>
      <c r="G42" s="5"/>
      <c r="H42" s="3"/>
      <c r="I42" s="3" t="s">
        <v>14</v>
      </c>
      <c r="J42" s="3">
        <f>J40/F40</f>
        <v>0</v>
      </c>
      <c r="M42" s="3"/>
      <c r="N42" s="3"/>
      <c r="O42" s="5" t="s">
        <v>19</v>
      </c>
      <c r="P42" s="5">
        <f>P40+F42</f>
        <v>93</v>
      </c>
      <c r="Q42" s="5"/>
      <c r="S42" s="3" t="s">
        <v>14</v>
      </c>
      <c r="T42" s="3">
        <f>T40/P40</f>
        <v>0</v>
      </c>
      <c r="W42" s="5"/>
      <c r="X42" s="5"/>
      <c r="Y42" s="5" t="s">
        <v>19</v>
      </c>
      <c r="Z42" s="5">
        <f>Z40+P42</f>
        <v>111</v>
      </c>
      <c r="AA42" s="5"/>
      <c r="AB42" s="3"/>
      <c r="AC42" s="3" t="s">
        <v>14</v>
      </c>
      <c r="AD42" s="3">
        <f>AD40/Z40</f>
        <v>0</v>
      </c>
      <c r="AG42" s="5"/>
      <c r="AH42" s="5"/>
      <c r="AI42" s="5" t="s">
        <v>19</v>
      </c>
      <c r="AJ42" s="5">
        <f>AJ40+Z42</f>
        <v>114</v>
      </c>
      <c r="AK42" s="5"/>
      <c r="AL42" s="3"/>
      <c r="AM42" s="3" t="s">
        <v>14</v>
      </c>
      <c r="AN42" s="3">
        <f>AN40/AJ40</f>
        <v>0</v>
      </c>
    </row>
    <row r="43" spans="1:40" ht="21.75" outlineLevel="1" thickBot="1">
      <c r="H43" s="24"/>
      <c r="I43" s="5" t="s">
        <v>16</v>
      </c>
      <c r="J43" s="5">
        <f>J41/F42</f>
        <v>2.8402380952380955</v>
      </c>
      <c r="M43" s="5"/>
      <c r="N43" s="5"/>
      <c r="S43" s="5" t="s">
        <v>16</v>
      </c>
      <c r="T43" s="5">
        <f>T41/P42</f>
        <v>2.5653763440860216</v>
      </c>
      <c r="AC43" s="5" t="s">
        <v>16</v>
      </c>
      <c r="AD43" s="5">
        <f>AD41/Z42</f>
        <v>2.1493693693693694</v>
      </c>
      <c r="AM43" s="5" t="s">
        <v>16</v>
      </c>
      <c r="AN43" s="5">
        <f>AN41/AJ42</f>
        <v>2.0928070175438598</v>
      </c>
    </row>
    <row r="44" spans="1:40" ht="21.75" thickBot="1">
      <c r="A44" s="89" t="s">
        <v>91</v>
      </c>
      <c r="D44" s="39"/>
      <c r="J44" s="24"/>
    </row>
    <row r="45" spans="1:40" ht="23.25" customHeight="1" outlineLevel="1" thickBot="1">
      <c r="B45" s="171" t="s">
        <v>607</v>
      </c>
      <c r="C45" s="179" t="s">
        <v>5</v>
      </c>
      <c r="D45" s="180"/>
      <c r="E45" s="181"/>
      <c r="F45" s="164" t="str">
        <f>GradeStatus(Z41)&amp;"--"&amp;Z41&amp;" Credits "&amp;F55&amp;" In Progress"</f>
        <v>Senior--122 Credits 143 In Progress</v>
      </c>
      <c r="G45" s="165"/>
      <c r="H45" s="165"/>
      <c r="I45" s="165"/>
      <c r="J45" s="165"/>
      <c r="L45" s="171" t="s">
        <v>94</v>
      </c>
      <c r="M45" s="175" t="s">
        <v>23</v>
      </c>
      <c r="N45" s="176"/>
      <c r="O45" s="177"/>
      <c r="P45" s="166" t="str">
        <f>GradeStatus(F55)&amp;"--"&amp;F55&amp;" Credits "&amp;P55&amp;" In Progress"</f>
        <v>Senior--143 Credits 146 In Progress</v>
      </c>
      <c r="Q45" s="167"/>
      <c r="R45" s="167"/>
      <c r="S45" s="167"/>
      <c r="T45" s="167"/>
      <c r="V45" s="171" t="s">
        <v>95</v>
      </c>
      <c r="W45" s="168" t="s">
        <v>22</v>
      </c>
      <c r="X45" s="169"/>
      <c r="Y45" s="170"/>
      <c r="Z45" s="162" t="str">
        <f>GradeStatus(P55)&amp;"--"&amp;P55&amp;" Credits "&amp;Z55&amp;" In Progress"</f>
        <v>Senior--146 Credits 161 In Progress</v>
      </c>
      <c r="AA45" s="163"/>
      <c r="AB45" s="163"/>
      <c r="AC45" s="163"/>
      <c r="AD45" s="163"/>
      <c r="AF45" s="171" t="s">
        <v>96</v>
      </c>
      <c r="AG45" s="172" t="s">
        <v>54</v>
      </c>
      <c r="AH45" s="173"/>
      <c r="AI45" s="174"/>
      <c r="AJ45" s="160" t="str">
        <f>GradeStatus(Z55)&amp;"--"&amp;Z55&amp;" Credits "&amp;AJ55&amp;" In Progress"</f>
        <v>Senior--161 Credits 161 In Progress</v>
      </c>
      <c r="AK45" s="161"/>
      <c r="AL45" s="161"/>
      <c r="AM45" s="161"/>
      <c r="AN45" s="161"/>
    </row>
    <row r="46" spans="1:40" ht="15.75" outlineLevel="1" thickBot="1">
      <c r="B46" s="171"/>
      <c r="C46" s="3" t="s">
        <v>20</v>
      </c>
      <c r="D46" s="3" t="s">
        <v>24</v>
      </c>
      <c r="E46" s="3" t="s">
        <v>25</v>
      </c>
      <c r="F46" s="3" t="s">
        <v>10</v>
      </c>
      <c r="G46" s="3" t="s">
        <v>26</v>
      </c>
      <c r="H46" s="3" t="s">
        <v>12</v>
      </c>
      <c r="I46" s="3" t="s">
        <v>36</v>
      </c>
      <c r="J46" s="3" t="s">
        <v>28</v>
      </c>
      <c r="L46" s="171"/>
      <c r="M46" s="3" t="s">
        <v>20</v>
      </c>
      <c r="N46" s="3" t="s">
        <v>24</v>
      </c>
      <c r="O46" s="3" t="s">
        <v>25</v>
      </c>
      <c r="P46" s="3" t="s">
        <v>10</v>
      </c>
      <c r="Q46" s="3" t="s">
        <v>26</v>
      </c>
      <c r="R46" s="3" t="s">
        <v>12</v>
      </c>
      <c r="S46" s="3" t="s">
        <v>36</v>
      </c>
      <c r="T46" s="3" t="s">
        <v>28</v>
      </c>
      <c r="V46" s="171"/>
      <c r="W46" s="3" t="s">
        <v>20</v>
      </c>
      <c r="X46" s="3" t="s">
        <v>24</v>
      </c>
      <c r="Y46" s="3" t="s">
        <v>25</v>
      </c>
      <c r="Z46" s="3" t="s">
        <v>10</v>
      </c>
      <c r="AA46" s="3" t="s">
        <v>26</v>
      </c>
      <c r="AB46" s="3" t="s">
        <v>12</v>
      </c>
      <c r="AC46" s="3" t="s">
        <v>36</v>
      </c>
      <c r="AD46" s="3" t="s">
        <v>28</v>
      </c>
      <c r="AF46" s="171"/>
      <c r="AG46" s="3" t="s">
        <v>20</v>
      </c>
      <c r="AH46" s="3" t="s">
        <v>24</v>
      </c>
      <c r="AI46" s="3" t="s">
        <v>25</v>
      </c>
      <c r="AJ46" s="3" t="s">
        <v>10</v>
      </c>
      <c r="AK46" s="3" t="s">
        <v>26</v>
      </c>
      <c r="AL46" s="3" t="s">
        <v>12</v>
      </c>
      <c r="AM46" s="3" t="s">
        <v>36</v>
      </c>
      <c r="AN46" s="3" t="s">
        <v>28</v>
      </c>
    </row>
    <row r="47" spans="1:40" ht="15.75" outlineLevel="1" thickBot="1">
      <c r="B47" s="171"/>
      <c r="C47" s="17" t="s">
        <v>167</v>
      </c>
      <c r="D47" s="3" t="str">
        <f>IF(Table32221[[#This Row],[Course]]= "","",IFERROR(VLOOKUP(Table32221[[#This Row],[Course]],COURSELIST[],2,FALSE),"Course Not Found!"))</f>
        <v>S 15   UD business law</v>
      </c>
      <c r="E47" s="3" t="str">
        <f>IF(Table32221[[#This Row],[Course]]= "","",IFERROR(VLOOKUP(Table32221[[#This Row],[Course]],COURSELIST[],3,FALSE),""))</f>
        <v>IT</v>
      </c>
      <c r="F47" s="3">
        <f>IF(Table32221[[#This Row],[Course]]= "","",IFERROR(VLOOKUP(Table32221[[#This Row],[Course]],COURSELIST[],4,FALSE),""))</f>
        <v>3</v>
      </c>
      <c r="H47" s="3" t="str">
        <f>IF(Table32221[[#This Row],[Course]]= "","",IFERROR(VLOOKUP(Table32221[[#This Row],[Course]],COURSELIST[],6,FALSE),""))</f>
        <v>n</v>
      </c>
      <c r="I47" s="3" t="str">
        <f>IF(Table32221[[#This Row],[Course]]= "","",IFERROR(VLOOKUP(Table32221[[#This Row],[Course]],COURSELIST[],7,FALSE),""))</f>
        <v>n</v>
      </c>
      <c r="J47" s="3">
        <f>IF(Table32221[[#This Row],[Course]]= "","",IFERROR(VLOOKUP(Table32221[[#This Row],[Course]],COURSELIST[],8,FALSE),""))</f>
        <v>0</v>
      </c>
      <c r="L47" s="171"/>
      <c r="M47" s="101" t="s">
        <v>220</v>
      </c>
      <c r="N47" s="3" t="str">
        <f>IF(Table143344[[#This Row],[Course]]= "","",IFERROR(VLOOKUP(Table143344[[#This Row],[Course]],COURSELIST[],2,FALSE),"Course Not Found!"))</f>
        <v>SW15 Sr Level</v>
      </c>
      <c r="O47" s="3" t="str">
        <f>IF(Table143344[[#This Row],[Course]]= "","",IFERROR(VLOOKUP(Table143344[[#This Row],[Course]],COURSELIST[],3,FALSE),""))</f>
        <v>IT</v>
      </c>
      <c r="P47" s="3">
        <f>IF(Table143344[[#This Row],[Course]]= "","",IFERROR(VLOOKUP(Table143344[[#This Row],[Course]],COURSELIST[],4,FALSE),""))</f>
        <v>3</v>
      </c>
      <c r="R47" s="3" t="str">
        <f>IF(Table143344[[#This Row],[Course]]= "","",IFERROR(VLOOKUP(Table143344[[#This Row],[Course]],COURSELIST[],6,FALSE),""))</f>
        <v>n</v>
      </c>
      <c r="S47" s="3" t="str">
        <f>IF(Table143344[[#This Row],[Course]]= "","",IFERROR(VLOOKUP(Table143344[[#This Row],[Course]],COURSELIST[],7,FALSE),""))</f>
        <v>n</v>
      </c>
      <c r="T47" s="3">
        <f>IF(Table143344[[#This Row],[Course]]= "","",IFERROR(VLOOKUP(Table143344[[#This Row],[Course]],COURSELIST[],8,FALSE),""))</f>
        <v>0</v>
      </c>
      <c r="V47" s="171"/>
      <c r="W47" s="101" t="s">
        <v>234</v>
      </c>
      <c r="X47" s="3" t="str">
        <f>IF(Table92839[[#This Row],[Course]]= "","",IFERROR(VLOOKUP(Table92839[[#This Row],[Course]],COURSELIST[],2,FALSE),"Course Not Found!"))</f>
        <v>W15 ITSCM 380 Business Intelligence-Business Analysis Emph</v>
      </c>
      <c r="Y47" s="3" t="str">
        <f>IF(Table92839[[#This Row],[Course]]= "","",IFERROR(VLOOKUP(Table92839[[#This Row],[Course]],COURSELIST[],3,FALSE),""))</f>
        <v>IT</v>
      </c>
      <c r="Z47" s="3">
        <f>IF(Table92839[[#This Row],[Course]]= "","",IFERROR(VLOOKUP(Table92839[[#This Row],[Course]],COURSELIST[],4,FALSE),""))</f>
        <v>3</v>
      </c>
      <c r="AB47" s="3" t="str">
        <f>IF(Table92839[[#This Row],[Course]]= "","",IFERROR(VLOOKUP(Table92839[[#This Row],[Course]],COURSELIST[],6,FALSE),""))</f>
        <v>n</v>
      </c>
      <c r="AC47" s="3" t="str">
        <f>IF(Table92839[[#This Row],[Course]]= "","",IFERROR(VLOOKUP(Table92839[[#This Row],[Course]],COURSELIST[],7,FALSE),""))</f>
        <v>n</v>
      </c>
      <c r="AD47" s="3">
        <f>IF(Table92839[[#This Row],[Course]]= "","",IFERROR(VLOOKUP(Table92839[[#This Row],[Course]],COURSELIST[],8,FALSE),""))</f>
        <v>0</v>
      </c>
      <c r="AF47" s="171"/>
      <c r="AG47" s="26"/>
      <c r="AH47" s="3" t="str">
        <f>IF(Table928394952[[#This Row],[Course]]= "","",IFERROR(VLOOKUP(Table928394952[[#This Row],[Course]],COURSELIST[],2,FALSE),"Course Not Found!"))</f>
        <v/>
      </c>
      <c r="AI47" s="3" t="str">
        <f>IF(Table928394952[[#This Row],[Course]]= "","",IFERROR(VLOOKUP(Table928394952[[#This Row],[Course]],COURSELIST[],3,FALSE),""))</f>
        <v/>
      </c>
      <c r="AJ47" s="3" t="str">
        <f>IF(Table928394952[[#This Row],[Course]]= "","",IFERROR(VLOOKUP(Table928394952[[#This Row],[Course]],COURSELIST[],4,FALSE),""))</f>
        <v/>
      </c>
      <c r="AL47" s="3" t="str">
        <f>IF(Table928394952[[#This Row],[Course]]= "","",IFERROR(VLOOKUP(Table928394952[[#This Row],[Course]],COURSELIST[],6,FALSE),""))</f>
        <v/>
      </c>
      <c r="AM47" s="3" t="str">
        <f>IF(Table928394952[[#This Row],[Course]]= "","",IFERROR(VLOOKUP(Table928394952[[#This Row],[Course]],COURSELIST[],7,FALSE),""))</f>
        <v/>
      </c>
      <c r="AN47" s="3" t="str">
        <f>IF(Table928394952[[#This Row],[Course]]= "","",IFERROR(VLOOKUP(Table928394952[[#This Row],[Course]],COURSELIST[],8,FALSE),""))</f>
        <v/>
      </c>
    </row>
    <row r="48" spans="1:40" ht="15.75" outlineLevel="1" thickBot="1">
      <c r="B48" s="171"/>
      <c r="C48" s="17" t="s">
        <v>161</v>
      </c>
      <c r="D48" s="3" t="str">
        <f>IF(Table32221[[#This Row],[Course]]= "","",IFERROR(VLOOKUP(Table32221[[#This Row],[Course]],COURSELIST[],2,FALSE),"Course Not Found!"))</f>
        <v>COMPUTER ORGANIZATION AND SYSTEM PROGRAMMING</v>
      </c>
      <c r="E48" s="3" t="str">
        <f>IF(Table32221[[#This Row],[Course]]= "","",IFERROR(VLOOKUP(Table32221[[#This Row],[Course]],COURSELIST[],3,FALSE),""))</f>
        <v>CompSci</v>
      </c>
      <c r="F48" s="3">
        <f>IF(Table32221[[#This Row],[Course]]= "","",IFERROR(VLOOKUP(Table32221[[#This Row],[Course]],COURSELIST[],4,FALSE),""))</f>
        <v>3</v>
      </c>
      <c r="H48" s="3" t="str">
        <f>IF(Table32221[[#This Row],[Course]]= "","",IFERROR(VLOOKUP(Table32221[[#This Row],[Course]],COURSELIST[],6,FALSE),""))</f>
        <v>n</v>
      </c>
      <c r="I48" s="3" t="str">
        <f>IF(Table32221[[#This Row],[Course]]= "","",IFERROR(VLOOKUP(Table32221[[#This Row],[Course]],COURSELIST[],7,FALSE),""))</f>
        <v>n</v>
      </c>
      <c r="J48" s="3">
        <f>IF(Table32221[[#This Row],[Course]]= "","",IFERROR(VLOOKUP(Table32221[[#This Row],[Course]],COURSELIST[],8,FALSE),""))</f>
        <v>0</v>
      </c>
      <c r="K48" s="5"/>
      <c r="L48" s="171"/>
      <c r="M48" s="26"/>
      <c r="N48" s="3" t="str">
        <f>IF(Table143344[[#This Row],[Course]]= "","",IFERROR(VLOOKUP(Table143344[[#This Row],[Course]],COURSELIST[],2,FALSE),"Course Not Found!"))</f>
        <v/>
      </c>
      <c r="O48" s="3" t="str">
        <f>IF(Table143344[[#This Row],[Course]]= "","",IFERROR(VLOOKUP(Table143344[[#This Row],[Course]],COURSELIST[],3,FALSE),""))</f>
        <v/>
      </c>
      <c r="P48" s="3" t="str">
        <f>IF(Table143344[[#This Row],[Course]]= "","",IFERROR(VLOOKUP(Table143344[[#This Row],[Course]],COURSELIST[],4,FALSE),""))</f>
        <v/>
      </c>
      <c r="R48" s="3" t="str">
        <f>IF(Table143344[[#This Row],[Course]]= "","",IFERROR(VLOOKUP(Table143344[[#This Row],[Course]],COURSELIST[],6,FALSE),""))</f>
        <v/>
      </c>
      <c r="S48" s="3" t="str">
        <f>IF(Table143344[[#This Row],[Course]]= "","",IFERROR(VLOOKUP(Table143344[[#This Row],[Course]],COURSELIST[],7,FALSE),""))</f>
        <v/>
      </c>
      <c r="T48" s="3" t="str">
        <f>IF(Table143344[[#This Row],[Course]]= "","",IFERROR(VLOOKUP(Table143344[[#This Row],[Course]],COURSELIST[],8,FALSE),""))</f>
        <v/>
      </c>
      <c r="U48" s="5"/>
      <c r="V48" s="171"/>
      <c r="W48" s="26" t="s">
        <v>235</v>
      </c>
      <c r="X48" s="3" t="str">
        <f>IF(Table92839[[#This Row],[Course]]= "","",IFERROR(VLOOKUP(Table92839[[#This Row],[Course]],COURSELIST[],2,FALSE),"Course Not Found!"))</f>
        <v>Project Management</v>
      </c>
      <c r="Y48" s="3" t="str">
        <f>IF(Table92839[[#This Row],[Course]]= "","",IFERROR(VLOOKUP(Table92839[[#This Row],[Course]],COURSELIST[],3,FALSE),""))</f>
        <v>IT</v>
      </c>
      <c r="Z48" s="3">
        <f>IF(Table92839[[#This Row],[Course]]= "","",IFERROR(VLOOKUP(Table92839[[#This Row],[Course]],COURSELIST[],4,FALSE),""))</f>
        <v>3</v>
      </c>
      <c r="AB48" s="3" t="str">
        <f>IF(Table92839[[#This Row],[Course]]= "","",IFERROR(VLOOKUP(Table92839[[#This Row],[Course]],COURSELIST[],6,FALSE),""))</f>
        <v>n</v>
      </c>
      <c r="AC48" s="3" t="str">
        <f>IF(Table92839[[#This Row],[Course]]= "","",IFERROR(VLOOKUP(Table92839[[#This Row],[Course]],COURSELIST[],7,FALSE),""))</f>
        <v>n</v>
      </c>
      <c r="AD48" s="3">
        <f>IF(Table92839[[#This Row],[Course]]= "","",IFERROR(VLOOKUP(Table92839[[#This Row],[Course]],COURSELIST[],8,FALSE),""))</f>
        <v>0</v>
      </c>
      <c r="AF48" s="171"/>
      <c r="AG48" s="26"/>
      <c r="AH48" s="3" t="str">
        <f>IF(Table928394952[[#This Row],[Course]]= "","",IFERROR(VLOOKUP(Table928394952[[#This Row],[Course]],COURSELIST[],2,FALSE),"Course Not Found!"))</f>
        <v/>
      </c>
      <c r="AI48" s="3" t="str">
        <f>IF(Table928394952[[#This Row],[Course]]= "","",IFERROR(VLOOKUP(Table928394952[[#This Row],[Course]],COURSELIST[],3,FALSE),""))</f>
        <v/>
      </c>
      <c r="AJ48" s="3" t="str">
        <f>IF(Table928394952[[#This Row],[Course]]= "","",IFERROR(VLOOKUP(Table928394952[[#This Row],[Course]],COURSELIST[],4,FALSE),""))</f>
        <v/>
      </c>
      <c r="AL48" s="3" t="str">
        <f>IF(Table928394952[[#This Row],[Course]]= "","",IFERROR(VLOOKUP(Table928394952[[#This Row],[Course]],COURSELIST[],6,FALSE),""))</f>
        <v/>
      </c>
      <c r="AM48" s="3" t="str">
        <f>IF(Table928394952[[#This Row],[Course]]= "","",IFERROR(VLOOKUP(Table928394952[[#This Row],[Course]],COURSELIST[],7,FALSE),""))</f>
        <v/>
      </c>
      <c r="AN48" s="3" t="str">
        <f>IF(Table928394952[[#This Row],[Course]]= "","",IFERROR(VLOOKUP(Table928394952[[#This Row],[Course]],COURSELIST[],8,FALSE),""))</f>
        <v/>
      </c>
    </row>
    <row r="49" spans="1:40" ht="15.75" outlineLevel="1" thickBot="1">
      <c r="B49" s="171"/>
      <c r="C49" s="26" t="s">
        <v>172</v>
      </c>
      <c r="D49" s="3" t="str">
        <f>IF(Table32221[[#This Row],[Course]]= "","",IFERROR(VLOOKUP(Table32221[[#This Row],[Course]],COURSELIST[],2,FALSE),"Course Not Found!"))</f>
        <v>SW15 UD Operations Mngmt</v>
      </c>
      <c r="E49" s="3" t="str">
        <f>IF(Table32221[[#This Row],[Course]]= "","",IFERROR(VLOOKUP(Table32221[[#This Row],[Course]],COURSELIST[],3,FALSE),""))</f>
        <v>IT</v>
      </c>
      <c r="F49" s="3">
        <f>IF(Table32221[[#This Row],[Course]]= "","",IFERROR(VLOOKUP(Table32221[[#This Row],[Course]],COURSELIST[],4,FALSE),""))</f>
        <v>3</v>
      </c>
      <c r="H49" s="3" t="str">
        <f>IF(Table32221[[#This Row],[Course]]= "","",IFERROR(VLOOKUP(Table32221[[#This Row],[Course]],COURSELIST[],6,FALSE),""))</f>
        <v>n</v>
      </c>
      <c r="I49" s="3" t="str">
        <f>IF(Table32221[[#This Row],[Course]]= "","",IFERROR(VLOOKUP(Table32221[[#This Row],[Course]],COURSELIST[],7,FALSE),""))</f>
        <v>n</v>
      </c>
      <c r="J49" s="3">
        <f>IF(Table32221[[#This Row],[Course]]= "","",IFERROR(VLOOKUP(Table32221[[#This Row],[Course]],COURSELIST[],8,FALSE),""))</f>
        <v>0</v>
      </c>
      <c r="L49" s="171"/>
      <c r="M49" s="26"/>
      <c r="N49" s="3" t="str">
        <f>IF(Table143344[[#This Row],[Course]]= "","",IFERROR(VLOOKUP(Table143344[[#This Row],[Course]],COURSELIST[],2,FALSE),"Course Not Found!"))</f>
        <v/>
      </c>
      <c r="O49" s="3" t="str">
        <f>IF(Table143344[[#This Row],[Course]]= "","",IFERROR(VLOOKUP(Table143344[[#This Row],[Course]],COURSELIST[],3,FALSE),""))</f>
        <v/>
      </c>
      <c r="P49" s="3" t="str">
        <f>IF(Table143344[[#This Row],[Course]]= "","",IFERROR(VLOOKUP(Table143344[[#This Row],[Course]],COURSELIST[],4,FALSE),""))</f>
        <v/>
      </c>
      <c r="R49" s="3" t="str">
        <f>IF(Table143344[[#This Row],[Course]]= "","",IFERROR(VLOOKUP(Table143344[[#This Row],[Course]],COURSELIST[],6,FALSE),""))</f>
        <v/>
      </c>
      <c r="S49" s="3" t="str">
        <f>IF(Table143344[[#This Row],[Course]]= "","",IFERROR(VLOOKUP(Table143344[[#This Row],[Course]],COURSELIST[],7,FALSE),""))</f>
        <v/>
      </c>
      <c r="T49" s="3" t="str">
        <f>IF(Table143344[[#This Row],[Course]]= "","",IFERROR(VLOOKUP(Table143344[[#This Row],[Course]],COURSELIST[],8,FALSE),""))</f>
        <v/>
      </c>
      <c r="V49" s="171"/>
      <c r="W49" s="100" t="s">
        <v>210</v>
      </c>
      <c r="X49" s="3" t="str">
        <f>IF(Table92839[[#This Row],[Course]]= "","",IFERROR(VLOOKUP(Table92839[[#This Row],[Course]],COURSELIST[],2,FALSE),"Course Not Found!"))</f>
        <v>300 Level CS course 3 out of 11 elective units</v>
      </c>
      <c r="Y49" s="3" t="str">
        <f>IF(Table92839[[#This Row],[Course]]= "","",IFERROR(VLOOKUP(Table92839[[#This Row],[Course]],COURSELIST[],3,FALSE),""))</f>
        <v>CompSci</v>
      </c>
      <c r="Z49" s="3">
        <f>IF(Table92839[[#This Row],[Course]]= "","",IFERROR(VLOOKUP(Table92839[[#This Row],[Course]],COURSELIST[],4,FALSE),""))</f>
        <v>3</v>
      </c>
      <c r="AB49" s="3" t="str">
        <f>IF(Table92839[[#This Row],[Course]]= "","",IFERROR(VLOOKUP(Table92839[[#This Row],[Course]],COURSELIST[],6,FALSE),""))</f>
        <v>n</v>
      </c>
      <c r="AC49" s="3" t="str">
        <f>IF(Table92839[[#This Row],[Course]]= "","",IFERROR(VLOOKUP(Table92839[[#This Row],[Course]],COURSELIST[],7,FALSE),""))</f>
        <v>n</v>
      </c>
      <c r="AD49" s="3">
        <f>IF(Table92839[[#This Row],[Course]]= "","",IFERROR(VLOOKUP(Table92839[[#This Row],[Course]],COURSELIST[],8,FALSE),""))</f>
        <v>0</v>
      </c>
      <c r="AF49" s="171"/>
      <c r="AG49" s="17"/>
      <c r="AH49" s="3" t="str">
        <f>IF(Table928394952[[#This Row],[Course]]= "","",IFERROR(VLOOKUP(Table928394952[[#This Row],[Course]],COURSELIST[],2,FALSE),"Course Not Found!"))</f>
        <v/>
      </c>
      <c r="AI49" s="3" t="str">
        <f>IF(Table928394952[[#This Row],[Course]]= "","",IFERROR(VLOOKUP(Table928394952[[#This Row],[Course]],COURSELIST[],3,FALSE),""))</f>
        <v/>
      </c>
      <c r="AJ49" s="3" t="str">
        <f>IF(Table928394952[[#This Row],[Course]]= "","",IFERROR(VLOOKUP(Table928394952[[#This Row],[Course]],COURSELIST[],4,FALSE),""))</f>
        <v/>
      </c>
      <c r="AL49" s="3" t="str">
        <f>IF(Table928394952[[#This Row],[Course]]= "","",IFERROR(VLOOKUP(Table928394952[[#This Row],[Course]],COURSELIST[],6,FALSE),""))</f>
        <v/>
      </c>
      <c r="AM49" s="3" t="str">
        <f>IF(Table928394952[[#This Row],[Course]]= "","",IFERROR(VLOOKUP(Table928394952[[#This Row],[Course]],COURSELIST[],7,FALSE),""))</f>
        <v/>
      </c>
      <c r="AN49" s="3" t="str">
        <f>IF(Table928394952[[#This Row],[Course]]= "","",IFERROR(VLOOKUP(Table928394952[[#This Row],[Course]],COURSELIST[],8,FALSE),""))</f>
        <v/>
      </c>
    </row>
    <row r="50" spans="1:40" ht="15.75" outlineLevel="1" thickBot="1">
      <c r="B50" s="171"/>
      <c r="C50" s="26" t="s">
        <v>164</v>
      </c>
      <c r="D50" s="3" t="str">
        <f>IF(Table32221[[#This Row],[Course]]= "","",IFERROR(VLOOKUP(Table32221[[#This Row],[Course]],COURSELIST[],2,FALSE),"Course Not Found!"))</f>
        <v>Specialization Areas (Select six credits from each of any two areas)</v>
      </c>
      <c r="E50" s="3" t="str">
        <f>IF(Table32221[[#This Row],[Course]]= "","",IFERROR(VLOOKUP(Table32221[[#This Row],[Course]],COURSELIST[],3,FALSE),""))</f>
        <v>CompSci</v>
      </c>
      <c r="F50" s="3">
        <f>IF(Table32221[[#This Row],[Course]]= "","",IFERROR(VLOOKUP(Table32221[[#This Row],[Course]],COURSELIST[],4,FALSE),""))</f>
        <v>3</v>
      </c>
      <c r="H50" s="3" t="str">
        <f>IF(Table32221[[#This Row],[Course]]= "","",IFERROR(VLOOKUP(Table32221[[#This Row],[Course]],COURSELIST[],6,FALSE),""))</f>
        <v>n</v>
      </c>
      <c r="I50" s="3" t="str">
        <f>IF(Table32221[[#This Row],[Course]]= "","",IFERROR(VLOOKUP(Table32221[[#This Row],[Course]],COURSELIST[],7,FALSE),""))</f>
        <v>n</v>
      </c>
      <c r="J50" s="3">
        <f>IF(Table32221[[#This Row],[Course]]= "","",IFERROR(VLOOKUP(Table32221[[#This Row],[Course]],COURSELIST[],8,FALSE),""))</f>
        <v>0</v>
      </c>
      <c r="L50" s="171"/>
      <c r="M50" s="26"/>
      <c r="N50" s="3" t="str">
        <f>IF(Table143344[[#This Row],[Course]]= "","",IFERROR(VLOOKUP(Table143344[[#This Row],[Course]],COURSELIST[],2,FALSE),"Course Not Found!"))</f>
        <v/>
      </c>
      <c r="O50" s="3" t="str">
        <f>IF(Table143344[[#This Row],[Course]]= "","",IFERROR(VLOOKUP(Table143344[[#This Row],[Course]],COURSELIST[],3,FALSE),""))</f>
        <v/>
      </c>
      <c r="P50" s="3" t="str">
        <f>IF(Table143344[[#This Row],[Course]]= "","",IFERROR(VLOOKUP(Table143344[[#This Row],[Course]],COURSELIST[],4,FALSE),""))</f>
        <v/>
      </c>
      <c r="R50" s="3" t="str">
        <f>IF(Table143344[[#This Row],[Course]]= "","",IFERROR(VLOOKUP(Table143344[[#This Row],[Course]],COURSELIST[],6,FALSE),""))</f>
        <v/>
      </c>
      <c r="S50" s="3" t="str">
        <f>IF(Table143344[[#This Row],[Course]]= "","",IFERROR(VLOOKUP(Table143344[[#This Row],[Course]],COURSELIST[],7,FALSE),""))</f>
        <v/>
      </c>
      <c r="T50" s="3" t="str">
        <f>IF(Table143344[[#This Row],[Course]]= "","",IFERROR(VLOOKUP(Table143344[[#This Row],[Course]],COURSELIST[],8,FALSE),""))</f>
        <v/>
      </c>
      <c r="V50" s="171"/>
      <c r="W50" s="100" t="s">
        <v>212</v>
      </c>
      <c r="X50" s="3" t="str">
        <f>IF(Table92839[[#This Row],[Course]]= "","",IFERROR(VLOOKUP(Table92839[[#This Row],[Course]],COURSELIST[],2,FALSE),"Course Not Found!"))</f>
        <v>Specialization Areas (Select six credits from each of any two areas)</v>
      </c>
      <c r="Y50" s="3" t="str">
        <f>IF(Table92839[[#This Row],[Course]]= "","",IFERROR(VLOOKUP(Table92839[[#This Row],[Course]],COURSELIST[],3,FALSE),""))</f>
        <v>CompSci</v>
      </c>
      <c r="Z50" s="3">
        <f>IF(Table92839[[#This Row],[Course]]= "","",IFERROR(VLOOKUP(Table92839[[#This Row],[Course]],COURSELIST[],4,FALSE),""))</f>
        <v>3</v>
      </c>
      <c r="AB50" s="3" t="str">
        <f>IF(Table92839[[#This Row],[Course]]= "","",IFERROR(VLOOKUP(Table92839[[#This Row],[Course]],COURSELIST[],6,FALSE),""))</f>
        <v>n</v>
      </c>
      <c r="AC50" s="3" t="str">
        <f>IF(Table92839[[#This Row],[Course]]= "","",IFERROR(VLOOKUP(Table92839[[#This Row],[Course]],COURSELIST[],7,FALSE),""))</f>
        <v>n</v>
      </c>
      <c r="AD50" s="3">
        <f>IF(Table92839[[#This Row],[Course]]= "","",IFERROR(VLOOKUP(Table92839[[#This Row],[Course]],COURSELIST[],8,FALSE),""))</f>
        <v>0</v>
      </c>
      <c r="AF50" s="171"/>
      <c r="AG50" s="17"/>
      <c r="AH50" s="3" t="str">
        <f>IF(Table928394952[[#This Row],[Course]]= "","",IFERROR(VLOOKUP(Table928394952[[#This Row],[Course]],COURSELIST[],2,FALSE),"Course Not Found!"))</f>
        <v/>
      </c>
      <c r="AI50" s="3" t="str">
        <f>IF(Table928394952[[#This Row],[Course]]= "","",IFERROR(VLOOKUP(Table928394952[[#This Row],[Course]],COURSELIST[],3,FALSE),""))</f>
        <v/>
      </c>
      <c r="AJ50" s="3" t="str">
        <f>IF(Table928394952[[#This Row],[Course]]= "","",IFERROR(VLOOKUP(Table928394952[[#This Row],[Course]],COURSELIST[],4,FALSE),""))</f>
        <v/>
      </c>
      <c r="AL50" s="3" t="str">
        <f>IF(Table928394952[[#This Row],[Course]]= "","",IFERROR(VLOOKUP(Table928394952[[#This Row],[Course]],COURSELIST[],6,FALSE),""))</f>
        <v/>
      </c>
      <c r="AM50" s="3" t="str">
        <f>IF(Table928394952[[#This Row],[Course]]= "","",IFERROR(VLOOKUP(Table928394952[[#This Row],[Course]],COURSELIST[],7,FALSE),""))</f>
        <v/>
      </c>
      <c r="AN50" s="3" t="str">
        <f>IF(Table928394952[[#This Row],[Course]]= "","",IFERROR(VLOOKUP(Table928394952[[#This Row],[Course]],COURSELIST[],8,FALSE),""))</f>
        <v/>
      </c>
    </row>
    <row r="51" spans="1:40" ht="15.75" outlineLevel="1" thickBot="1">
      <c r="B51" s="171"/>
      <c r="C51" s="26" t="s">
        <v>170</v>
      </c>
      <c r="D51" s="3" t="str">
        <f>IF(Table32221[[#This Row],[Course]]= "","",IFERROR(VLOOKUP(Table32221[[#This Row],[Course]],COURSELIST[],2,FALSE),"Course Not Found!"))</f>
        <v>ITSCM 320 Business Analysis -Business Analysis Emph</v>
      </c>
      <c r="E51" s="3" t="str">
        <f>IF(Table32221[[#This Row],[Course]]= "","",IFERROR(VLOOKUP(Table32221[[#This Row],[Course]],COURSELIST[],3,FALSE),""))</f>
        <v>IT</v>
      </c>
      <c r="F51" s="3">
        <f>IF(Table32221[[#This Row],[Course]]= "","",IFERROR(VLOOKUP(Table32221[[#This Row],[Course]],COURSELIST[],4,FALSE),""))</f>
        <v>3</v>
      </c>
      <c r="H51" s="3" t="str">
        <f>IF(Table32221[[#This Row],[Course]]= "","",IFERROR(VLOOKUP(Table32221[[#This Row],[Course]],COURSELIST[],6,FALSE),""))</f>
        <v>n</v>
      </c>
      <c r="I51" s="3" t="str">
        <f>IF(Table32221[[#This Row],[Course]]= "","",IFERROR(VLOOKUP(Table32221[[#This Row],[Course]],COURSELIST[],7,FALSE),""))</f>
        <v>n</v>
      </c>
      <c r="J51" s="3">
        <f>IF(Table32221[[#This Row],[Course]]= "","",IFERROR(VLOOKUP(Table32221[[#This Row],[Course]],COURSELIST[],8,FALSE),""))</f>
        <v>0</v>
      </c>
      <c r="L51" s="171"/>
      <c r="M51" s="18"/>
      <c r="N51" s="3" t="str">
        <f>IF(Table143344[[#This Row],[Course]]= "","",IFERROR(VLOOKUP(Table143344[[#This Row],[Course]],COURSELIST[],2,FALSE),"Course Not Found!"))</f>
        <v/>
      </c>
      <c r="O51" s="3" t="str">
        <f>IF(Table143344[[#This Row],[Course]]= "","",IFERROR(VLOOKUP(Table143344[[#This Row],[Course]],COURSELIST[],3,FALSE),""))</f>
        <v/>
      </c>
      <c r="P51" s="3" t="str">
        <f>IF(Table143344[[#This Row],[Course]]= "","",IFERROR(VLOOKUP(Table143344[[#This Row],[Course]],COURSELIST[],4,FALSE),""))</f>
        <v/>
      </c>
      <c r="R51" s="3" t="str">
        <f>IF(Table143344[[#This Row],[Course]]= "","",IFERROR(VLOOKUP(Table143344[[#This Row],[Course]],COURSELIST[],6,FALSE),""))</f>
        <v/>
      </c>
      <c r="S51" s="3" t="str">
        <f>IF(Table143344[[#This Row],[Course]]= "","",IFERROR(VLOOKUP(Table143344[[#This Row],[Course]],COURSELIST[],7,FALSE),""))</f>
        <v/>
      </c>
      <c r="T51" s="5" t="str">
        <f>IF(Table143344[[#This Row],[Course]]= "","",IFERROR(VLOOKUP(Table143344[[#This Row],[Course]],COURSELIST[],8,FALSE),""))</f>
        <v/>
      </c>
      <c r="V51" s="171"/>
      <c r="W51" s="100"/>
      <c r="X51" s="3" t="str">
        <f>IF(Table92839[[#This Row],[Course]]= "","",IFERROR(VLOOKUP(Table92839[[#This Row],[Course]],COURSELIST[],2,FALSE),"Course Not Found!"))</f>
        <v/>
      </c>
      <c r="Y51" s="3" t="str">
        <f>IF(Table92839[[#This Row],[Course]]= "","",IFERROR(VLOOKUP(Table92839[[#This Row],[Course]],COURSELIST[],3,FALSE),""))</f>
        <v/>
      </c>
      <c r="Z51" s="3" t="str">
        <f>IF(Table92839[[#This Row],[Course]]= "","",IFERROR(VLOOKUP(Table92839[[#This Row],[Course]],COURSELIST[],4,FALSE),""))</f>
        <v/>
      </c>
      <c r="AB51" s="3" t="str">
        <f>IF(Table92839[[#This Row],[Course]]= "","",IFERROR(VLOOKUP(Table92839[[#This Row],[Course]],COURSELIST[],6,FALSE),""))</f>
        <v/>
      </c>
      <c r="AC51" s="3" t="str">
        <f>IF(Table92839[[#This Row],[Course]]= "","",IFERROR(VLOOKUP(Table92839[[#This Row],[Course]],COURSELIST[],7,FALSE),""))</f>
        <v/>
      </c>
      <c r="AD51" s="3" t="str">
        <f>IF(Table92839[[#This Row],[Course]]= "","",IFERROR(VLOOKUP(Table92839[[#This Row],[Course]],COURSELIST[],8,FALSE),""))</f>
        <v/>
      </c>
      <c r="AF51" s="171"/>
      <c r="AG51" s="26"/>
      <c r="AH51" s="3" t="str">
        <f>IF(Table928394952[[#This Row],[Course]]= "","",IFERROR(VLOOKUP(Table928394952[[#This Row],[Course]],COURSELIST[],2,FALSE),"Course Not Found!"))</f>
        <v/>
      </c>
      <c r="AI51" s="3" t="str">
        <f>IF(Table928394952[[#This Row],[Course]]= "","",IFERROR(VLOOKUP(Table928394952[[#This Row],[Course]],COURSELIST[],3,FALSE),""))</f>
        <v/>
      </c>
      <c r="AJ51" s="3" t="str">
        <f>IF(Table928394952[[#This Row],[Course]]= "","",IFERROR(VLOOKUP(Table928394952[[#This Row],[Course]],COURSELIST[],4,FALSE),""))</f>
        <v/>
      </c>
      <c r="AL51" s="3" t="str">
        <f>IF(Table928394952[[#This Row],[Course]]= "","",IFERROR(VLOOKUP(Table928394952[[#This Row],[Course]],COURSELIST[],6,FALSE),""))</f>
        <v/>
      </c>
      <c r="AM51" s="3" t="str">
        <f>IF(Table928394952[[#This Row],[Course]]= "","",IFERROR(VLOOKUP(Table928394952[[#This Row],[Course]],COURSELIST[],7,FALSE),""))</f>
        <v/>
      </c>
      <c r="AN51" s="3" t="str">
        <f>IF(Table928394952[[#This Row],[Course]]= "","",IFERROR(VLOOKUP(Table928394952[[#This Row],[Course]],COURSELIST[],8,FALSE),""))</f>
        <v/>
      </c>
    </row>
    <row r="52" spans="1:40" ht="15.75" outlineLevel="1" thickBot="1">
      <c r="B52" s="171"/>
      <c r="C52" s="37" t="s">
        <v>166</v>
      </c>
      <c r="D52" s="3" t="str">
        <f>IF(Table32221[[#This Row],[Course]]= "","",IFERROR(VLOOKUP(Table32221[[#This Row],[Course]],COURSELIST[],2,FALSE),"Course Not Found!"))</f>
        <v>Specialization Areas (Select six credits from each of any two areas)</v>
      </c>
      <c r="E52" s="3" t="str">
        <f>IF(Table32221[[#This Row],[Course]]= "","",IFERROR(VLOOKUP(Table32221[[#This Row],[Course]],COURSELIST[],3,FALSE),""))</f>
        <v>CompSci</v>
      </c>
      <c r="F52" s="3">
        <f>IF(Table32221[[#This Row],[Course]]= "","",IFERROR(VLOOKUP(Table32221[[#This Row],[Course]],COURSELIST[],4,FALSE),""))</f>
        <v>3</v>
      </c>
      <c r="H52" s="3" t="str">
        <f>IF(Table32221[[#This Row],[Course]]= "","",IFERROR(VLOOKUP(Table32221[[#This Row],[Course]],COURSELIST[],6,FALSE),""))</f>
        <v>n</v>
      </c>
      <c r="I52" s="3" t="str">
        <f>IF(Table32221[[#This Row],[Course]]= "","",IFERROR(VLOOKUP(Table32221[[#This Row],[Course]],COURSELIST[],7,FALSE),""))</f>
        <v>n</v>
      </c>
      <c r="J52" s="3">
        <f>IF(Table32221[[#This Row],[Course]]= "","",IFERROR(VLOOKUP(Table32221[[#This Row],[Course]],COURSELIST[],8,FALSE),""))</f>
        <v>0</v>
      </c>
      <c r="L52" s="171"/>
      <c r="M52" s="17"/>
      <c r="N52" s="3" t="str">
        <f>IF(Table143344[[#This Row],[Course]]= "","",IFERROR(VLOOKUP(Table143344[[#This Row],[Course]],COURSELIST[],2,FALSE),"Course Not Found!"))</f>
        <v/>
      </c>
      <c r="O52" s="3" t="str">
        <f>IF(Table143344[[#This Row],[Course]]= "","",IFERROR(VLOOKUP(Table143344[[#This Row],[Course]],COURSELIST[],3,FALSE),""))</f>
        <v/>
      </c>
      <c r="P52" s="3" t="str">
        <f>IF(Table143344[[#This Row],[Course]]= "","",IFERROR(VLOOKUP(Table143344[[#This Row],[Course]],COURSELIST[],4,FALSE),""))</f>
        <v/>
      </c>
      <c r="R52" s="3" t="str">
        <f>IF(Table143344[[#This Row],[Course]]= "","",IFERROR(VLOOKUP(Table143344[[#This Row],[Course]],COURSELIST[],6,FALSE),""))</f>
        <v/>
      </c>
      <c r="S52" s="3" t="str">
        <f>IF(Table143344[[#This Row],[Course]]= "","",IFERROR(VLOOKUP(Table143344[[#This Row],[Course]],COURSELIST[],7,FALSE),""))</f>
        <v/>
      </c>
      <c r="T52" s="3" t="str">
        <f>IF(Table143344[[#This Row],[Course]]= "","",IFERROR(VLOOKUP(Table143344[[#This Row],[Course]],COURSELIST[],8,FALSE),""))</f>
        <v/>
      </c>
      <c r="V52" s="171"/>
      <c r="W52" s="17" t="s">
        <v>215</v>
      </c>
      <c r="X52" s="3" t="str">
        <f>IF(Table92839[[#This Row],[Course]]= "","",IFERROR(VLOOKUP(Table92839[[#This Row],[Course]],COURSELIST[],2,FALSE),"Course Not Found!"))</f>
        <v>Managing Information Technology Systems</v>
      </c>
      <c r="Y52" s="3" t="str">
        <f>IF(Table92839[[#This Row],[Course]]= "","",IFERROR(VLOOKUP(Table92839[[#This Row],[Course]],COURSELIST[],3,FALSE),""))</f>
        <v>IT</v>
      </c>
      <c r="Z52" s="3">
        <f>IF(Table92839[[#This Row],[Course]]= "","",IFERROR(VLOOKUP(Table92839[[#This Row],[Course]],COURSELIST[],4,FALSE),""))</f>
        <v>3</v>
      </c>
      <c r="AB52" s="3" t="str">
        <f>IF(Table92839[[#This Row],[Course]]= "","",IFERROR(VLOOKUP(Table92839[[#This Row],[Course]],COURSELIST[],6,FALSE),""))</f>
        <v>n</v>
      </c>
      <c r="AC52" s="3" t="str">
        <f>IF(Table92839[[#This Row],[Course]]= "","",IFERROR(VLOOKUP(Table92839[[#This Row],[Course]],COURSELIST[],7,FALSE),""))</f>
        <v>n</v>
      </c>
      <c r="AD52" s="3">
        <f>IF(Table92839[[#This Row],[Course]]= "","",IFERROR(VLOOKUP(Table92839[[#This Row],[Course]],COURSELIST[],8,FALSE),""))</f>
        <v>0</v>
      </c>
      <c r="AF52" s="171"/>
      <c r="AG52" s="26"/>
      <c r="AH52" s="3" t="str">
        <f>IF(Table928394952[[#This Row],[Course]]= "","",IFERROR(VLOOKUP(Table928394952[[#This Row],[Course]],COURSELIST[],2,FALSE),"Course Not Found!"))</f>
        <v/>
      </c>
      <c r="AI52" s="3" t="str">
        <f>IF(Table928394952[[#This Row],[Course]]= "","",IFERROR(VLOOKUP(Table928394952[[#This Row],[Course]],COURSELIST[],3,FALSE),""))</f>
        <v/>
      </c>
      <c r="AJ52" s="3" t="str">
        <f>IF(Table928394952[[#This Row],[Course]]= "","",IFERROR(VLOOKUP(Table928394952[[#This Row],[Course]],COURSELIST[],4,FALSE),""))</f>
        <v/>
      </c>
      <c r="AL52" s="3" t="str">
        <f>IF(Table928394952[[#This Row],[Course]]= "","",IFERROR(VLOOKUP(Table928394952[[#This Row],[Course]],COURSELIST[],6,FALSE),""))</f>
        <v/>
      </c>
      <c r="AM52" s="3" t="str">
        <f>IF(Table928394952[[#This Row],[Course]]= "","",IFERROR(VLOOKUP(Table928394952[[#This Row],[Course]],COURSELIST[],7,FALSE),""))</f>
        <v/>
      </c>
      <c r="AN52" s="3" t="str">
        <f>IF(Table928394952[[#This Row],[Course]]= "","",IFERROR(VLOOKUP(Table928394952[[#This Row],[Course]],COURSELIST[],8,FALSE),""))</f>
        <v/>
      </c>
    </row>
    <row r="53" spans="1:40" ht="15.75" outlineLevel="1" thickBot="1">
      <c r="B53" s="171"/>
      <c r="C53" s="38"/>
      <c r="D53" s="3" t="str">
        <f>IF(Table32221[[#This Row],[Course]]= "","",IFERROR(VLOOKUP(Table32221[[#This Row],[Course]],COURSELIST[],2,FALSE),"Course Not Found!"))</f>
        <v/>
      </c>
      <c r="E53" s="3" t="str">
        <f>IF(Table32221[[#This Row],[Course]]= "","",IFERROR(VLOOKUP(Table32221[[#This Row],[Course]],COURSELIST[],3,FALSE),""))</f>
        <v/>
      </c>
      <c r="F53" s="3" t="str">
        <f>IF(Table32221[[#This Row],[Course]]= "","",IFERROR(VLOOKUP(Table32221[[#This Row],[Course]],COURSELIST[],4,FALSE),""))</f>
        <v/>
      </c>
      <c r="H53" s="3" t="str">
        <f>IF(Table32221[[#This Row],[Course]]= "","",IFERROR(VLOOKUP(Table32221[[#This Row],[Course]],COURSELIST[],6,FALSE),""))</f>
        <v/>
      </c>
      <c r="I53" s="3" t="str">
        <f>IF(Table32221[[#This Row],[Course]]= "","",IFERROR(VLOOKUP(Table32221[[#This Row],[Course]],COURSELIST[],7,FALSE),""))</f>
        <v/>
      </c>
      <c r="J53" s="3" t="str">
        <f>IF(Table32221[[#This Row],[Course]]= "","",IFERROR(VLOOKUP(Table32221[[#This Row],[Course]],COURSELIST[],8,FALSE),""))</f>
        <v/>
      </c>
      <c r="L53" s="171"/>
      <c r="M53" s="29"/>
      <c r="N53" s="3" t="str">
        <f>IF(Table143344[[#This Row],[Course]]= "","",IFERROR(VLOOKUP(Table143344[[#This Row],[Course]],COURSELIST[],2,FALSE),"Course Not Found!"))</f>
        <v/>
      </c>
      <c r="O53" s="3" t="str">
        <f>IF(Table143344[[#This Row],[Course]]= "","",IFERROR(VLOOKUP(Table143344[[#This Row],[Course]],COURSELIST[],3,FALSE),""))</f>
        <v/>
      </c>
      <c r="P53" s="3" t="str">
        <f>IF(Table143344[[#This Row],[Course]]= "","",IFERROR(VLOOKUP(Table143344[[#This Row],[Course]],COURSELIST[],4,FALSE),""))</f>
        <v/>
      </c>
      <c r="R53" s="3" t="str">
        <f>IF(Table143344[[#This Row],[Course]]= "","",IFERROR(VLOOKUP(Table143344[[#This Row],[Course]],COURSELIST[],6,FALSE),""))</f>
        <v/>
      </c>
      <c r="S53" s="3" t="str">
        <f>IF(Table143344[[#This Row],[Course]]= "","",IFERROR(VLOOKUP(Table143344[[#This Row],[Course]],COURSELIST[],7,FALSE),""))</f>
        <v/>
      </c>
      <c r="T53" s="3" t="str">
        <f>IF(Table143344[[#This Row],[Course]]= "","",IFERROR(VLOOKUP(Table143344[[#This Row],[Course]],COURSELIST[],8,FALSE),""))</f>
        <v/>
      </c>
      <c r="V53" s="171"/>
      <c r="W53" s="29"/>
      <c r="X53" s="3" t="str">
        <f>IF(Table92839[[#This Row],[Course]]= "","",IFERROR(VLOOKUP(Table92839[[#This Row],[Course]],COURSELIST[],2,FALSE),"Course Not Found!"))</f>
        <v/>
      </c>
      <c r="Y53" s="3" t="str">
        <f>IF(Table92839[[#This Row],[Course]]= "","",IFERROR(VLOOKUP(Table92839[[#This Row],[Course]],COURSELIST[],3,FALSE),""))</f>
        <v/>
      </c>
      <c r="Z53" s="3" t="str">
        <f>IF(Table92839[[#This Row],[Course]]= "","",IFERROR(VLOOKUP(Table92839[[#This Row],[Course]],COURSELIST[],4,FALSE),""))</f>
        <v/>
      </c>
      <c r="AB53" s="3" t="str">
        <f>IF(Table92839[[#This Row],[Course]]= "","",IFERROR(VLOOKUP(Table92839[[#This Row],[Course]],COURSELIST[],6,FALSE),""))</f>
        <v/>
      </c>
      <c r="AC53" s="3" t="str">
        <f>IF(Table92839[[#This Row],[Course]]= "","",IFERROR(VLOOKUP(Table92839[[#This Row],[Course]],COURSELIST[],7,FALSE),""))</f>
        <v/>
      </c>
      <c r="AD53" s="3" t="str">
        <f>IF(Table92839[[#This Row],[Course]]= "","",IFERROR(VLOOKUP(Table92839[[#This Row],[Course]],COURSELIST[],8,FALSE),""))</f>
        <v/>
      </c>
      <c r="AF53" s="171"/>
      <c r="AG53" s="29"/>
      <c r="AH53" s="3" t="str">
        <f>IF(Table928394952[[#This Row],[Course]]= "","",IFERROR(VLOOKUP(Table928394952[[#This Row],[Course]],COURSELIST[],2,FALSE),"Course Not Found!"))</f>
        <v/>
      </c>
      <c r="AI53" s="3" t="str">
        <f>IF(Table928394952[[#This Row],[Course]]= "","",IFERROR(VLOOKUP(Table928394952[[#This Row],[Course]],COURSELIST[],3,FALSE),""))</f>
        <v/>
      </c>
      <c r="AJ53" s="3" t="str">
        <f>IF(Table928394952[[#This Row],[Course]]= "","",IFERROR(VLOOKUP(Table928394952[[#This Row],[Course]],COURSELIST[],4,FALSE),""))</f>
        <v/>
      </c>
      <c r="AL53" s="3" t="str">
        <f>IF(Table928394952[[#This Row],[Course]]= "","",IFERROR(VLOOKUP(Table928394952[[#This Row],[Course]],COURSELIST[],6,FALSE),""))</f>
        <v/>
      </c>
      <c r="AM53" s="3" t="str">
        <f>IF(Table928394952[[#This Row],[Course]]= "","",IFERROR(VLOOKUP(Table928394952[[#This Row],[Course]],COURSELIST[],7,FALSE),""))</f>
        <v/>
      </c>
      <c r="AN53" s="3" t="str">
        <f>IF(Table928394952[[#This Row],[Course]]= "","",IFERROR(VLOOKUP(Table928394952[[#This Row],[Course]],COURSELIST[],8,FALSE),""))</f>
        <v/>
      </c>
    </row>
    <row r="54" spans="1:40" outlineLevel="1">
      <c r="C54" s="20"/>
      <c r="E54" s="3" t="s">
        <v>10</v>
      </c>
      <c r="F54" s="3">
        <f>SUM(F47:F53)</f>
        <v>18</v>
      </c>
      <c r="G54" s="4"/>
      <c r="I54" s="3" t="s">
        <v>27</v>
      </c>
      <c r="J54" s="4">
        <f>SUM(J47:J53)</f>
        <v>0</v>
      </c>
      <c r="O54" s="3" t="s">
        <v>10</v>
      </c>
      <c r="P54" s="3">
        <f>SUM(P47:P53)</f>
        <v>3</v>
      </c>
      <c r="S54" s="3" t="s">
        <v>27</v>
      </c>
      <c r="T54" s="3">
        <f>SUM(T47:T53)</f>
        <v>0</v>
      </c>
      <c r="Y54" s="3" t="s">
        <v>10</v>
      </c>
      <c r="Z54" s="3">
        <f>SUM(Z47:Z53)</f>
        <v>15</v>
      </c>
      <c r="AC54" s="3" t="s">
        <v>27</v>
      </c>
      <c r="AD54" s="3">
        <f>SUM(AD47:AD53)</f>
        <v>0</v>
      </c>
      <c r="AI54" s="3" t="s">
        <v>10</v>
      </c>
      <c r="AJ54" s="3">
        <f>SUM(AJ47:AJ53)</f>
        <v>0</v>
      </c>
      <c r="AM54" s="3" t="s">
        <v>27</v>
      </c>
      <c r="AN54" s="3">
        <f>SUM(AN47:AN53)</f>
        <v>0</v>
      </c>
    </row>
    <row r="55" spans="1:40" outlineLevel="1">
      <c r="C55" s="20"/>
      <c r="E55" s="3" t="s">
        <v>18</v>
      </c>
      <c r="F55" s="3">
        <f>F54+AJ41</f>
        <v>143</v>
      </c>
      <c r="G55" s="4"/>
      <c r="I55" s="3" t="s">
        <v>17</v>
      </c>
      <c r="J55" s="4">
        <f>J54+AN41</f>
        <v>238.58</v>
      </c>
      <c r="O55" s="3" t="s">
        <v>18</v>
      </c>
      <c r="P55" s="3">
        <f>P54+F55</f>
        <v>146</v>
      </c>
      <c r="S55" s="3" t="s">
        <v>17</v>
      </c>
      <c r="T55" s="3">
        <f>T54+J55</f>
        <v>238.58</v>
      </c>
      <c r="Y55" s="3" t="s">
        <v>18</v>
      </c>
      <c r="Z55" s="3">
        <f>Z54+P55</f>
        <v>161</v>
      </c>
      <c r="AC55" s="3" t="s">
        <v>17</v>
      </c>
      <c r="AD55" s="3">
        <f>AD54+T55</f>
        <v>238.58</v>
      </c>
      <c r="AI55" s="3" t="s">
        <v>18</v>
      </c>
      <c r="AJ55" s="3">
        <f>AJ54+Z55</f>
        <v>161</v>
      </c>
      <c r="AM55" s="3" t="s">
        <v>17</v>
      </c>
      <c r="AN55" s="3">
        <f>AN54+AD55</f>
        <v>238.58</v>
      </c>
    </row>
    <row r="56" spans="1:40" outlineLevel="1">
      <c r="C56" s="20"/>
      <c r="E56" s="5" t="s">
        <v>19</v>
      </c>
      <c r="F56" s="5">
        <f>F54+AJ42</f>
        <v>132</v>
      </c>
      <c r="G56" s="25"/>
      <c r="I56" s="3" t="s">
        <v>14</v>
      </c>
      <c r="J56" s="4">
        <f>J54/F54</f>
        <v>0</v>
      </c>
      <c r="O56" s="5" t="s">
        <v>19</v>
      </c>
      <c r="P56" s="5">
        <f>P54+F56</f>
        <v>135</v>
      </c>
      <c r="Q56" s="5"/>
      <c r="S56" s="3" t="s">
        <v>14</v>
      </c>
      <c r="T56" s="3">
        <f>T54/P54</f>
        <v>0</v>
      </c>
      <c r="W56" s="5"/>
      <c r="X56" s="5"/>
      <c r="Y56" s="5" t="s">
        <v>19</v>
      </c>
      <c r="Z56" s="5">
        <f>Z54+P56</f>
        <v>150</v>
      </c>
      <c r="AA56" s="5"/>
      <c r="AC56" s="3" t="s">
        <v>14</v>
      </c>
      <c r="AD56" s="3">
        <f>AD54/Z54</f>
        <v>0</v>
      </c>
      <c r="AG56" s="5"/>
      <c r="AH56" s="5"/>
      <c r="AI56" s="5" t="s">
        <v>19</v>
      </c>
      <c r="AJ56" s="5">
        <f>AJ54+Z56</f>
        <v>150</v>
      </c>
      <c r="AK56" s="5"/>
      <c r="AM56" s="3" t="s">
        <v>14</v>
      </c>
      <c r="AN56" s="3" t="e">
        <f>AN54/AJ54</f>
        <v>#DIV/0!</v>
      </c>
    </row>
    <row r="57" spans="1:40" ht="21.75" outlineLevel="1" thickBot="1">
      <c r="C57" s="20"/>
      <c r="G57" s="4"/>
      <c r="H57" s="24"/>
      <c r="I57" s="5" t="s">
        <v>16</v>
      </c>
      <c r="J57" s="25">
        <f>J55/F56</f>
        <v>1.8074242424242426</v>
      </c>
      <c r="M57" s="5"/>
      <c r="N57" s="5"/>
      <c r="S57" s="5" t="s">
        <v>16</v>
      </c>
      <c r="T57" s="5">
        <f>T55/P56</f>
        <v>1.7672592592592593</v>
      </c>
      <c r="AC57" s="5" t="s">
        <v>16</v>
      </c>
      <c r="AD57" s="5">
        <f>AD55/Z56</f>
        <v>1.5905333333333334</v>
      </c>
      <c r="AM57" s="5" t="s">
        <v>16</v>
      </c>
      <c r="AN57" s="5">
        <f>AN55/AJ56</f>
        <v>1.5905333333333334</v>
      </c>
    </row>
    <row r="58" spans="1:40" ht="21.75" thickBot="1">
      <c r="A58" s="89" t="s">
        <v>92</v>
      </c>
      <c r="D58" s="39"/>
      <c r="J58" s="24"/>
    </row>
    <row r="59" spans="1:40" ht="23.25" customHeight="1" outlineLevel="1" thickBot="1">
      <c r="B59" s="171" t="s">
        <v>607</v>
      </c>
      <c r="C59" s="179" t="s">
        <v>93</v>
      </c>
      <c r="D59" s="180"/>
      <c r="E59" s="181"/>
      <c r="F59" s="164" t="str">
        <f>GradeStatus(Z55)&amp;"--"&amp;Z55&amp;" Credits "&amp;F70&amp;" In Progress"</f>
        <v>Senior--161 Credits 150 In Progress</v>
      </c>
      <c r="G59" s="165"/>
      <c r="H59" s="165"/>
      <c r="I59" s="165"/>
      <c r="J59" s="165"/>
      <c r="L59" s="171" t="s">
        <v>94</v>
      </c>
      <c r="M59" s="175" t="s">
        <v>55</v>
      </c>
      <c r="N59" s="176"/>
      <c r="O59" s="177"/>
      <c r="P59" s="166" t="str">
        <f>GradeStatus(F70)&amp;"--"&amp;F70&amp;" Credits "&amp;P70&amp;" In Progress"</f>
        <v>Senior--150 Credits 150 In Progress</v>
      </c>
      <c r="Q59" s="167"/>
      <c r="R59" s="167"/>
      <c r="S59" s="167"/>
      <c r="T59" s="167"/>
      <c r="V59" s="171" t="s">
        <v>95</v>
      </c>
      <c r="W59" s="168" t="s">
        <v>56</v>
      </c>
      <c r="X59" s="169"/>
      <c r="Y59" s="170"/>
      <c r="Z59" s="162" t="str">
        <f>GradeStatus(P70)&amp;"--"&amp;P70&amp;" Credits "&amp;Z70&amp;" In Progress"</f>
        <v>Senior--150 Credits 150 In Progress</v>
      </c>
      <c r="AA59" s="163"/>
      <c r="AB59" s="163"/>
      <c r="AC59" s="163"/>
      <c r="AD59" s="163"/>
      <c r="AF59" s="171" t="s">
        <v>96</v>
      </c>
      <c r="AG59" s="172" t="s">
        <v>59</v>
      </c>
      <c r="AH59" s="173"/>
      <c r="AI59" s="174"/>
      <c r="AJ59" s="160" t="str">
        <f>GradeStatus(Z69)&amp;"--"&amp;Z69&amp;" Credits "&amp;AJ69&amp;" In Progress"</f>
        <v>Senior--161 Credits 161 In Progress</v>
      </c>
      <c r="AK59" s="161"/>
      <c r="AL59" s="161"/>
      <c r="AM59" s="161"/>
      <c r="AN59" s="161"/>
    </row>
    <row r="60" spans="1:40" ht="15.75" outlineLevel="1" thickBot="1">
      <c r="B60" s="171"/>
      <c r="C60" s="3" t="s">
        <v>20</v>
      </c>
      <c r="D60" s="3" t="s">
        <v>24</v>
      </c>
      <c r="E60" s="3" t="s">
        <v>25</v>
      </c>
      <c r="F60" s="3" t="s">
        <v>10</v>
      </c>
      <c r="G60" s="3" t="s">
        <v>26</v>
      </c>
      <c r="H60" s="3" t="s">
        <v>12</v>
      </c>
      <c r="I60" s="3" t="s">
        <v>36</v>
      </c>
      <c r="J60" s="3" t="s">
        <v>28</v>
      </c>
      <c r="L60" s="171"/>
      <c r="M60" s="3" t="s">
        <v>20</v>
      </c>
      <c r="N60" s="3" t="s">
        <v>24</v>
      </c>
      <c r="O60" s="3" t="s">
        <v>25</v>
      </c>
      <c r="P60" s="3" t="s">
        <v>10</v>
      </c>
      <c r="Q60" s="3" t="s">
        <v>26</v>
      </c>
      <c r="R60" s="3" t="s">
        <v>12</v>
      </c>
      <c r="S60" s="3" t="s">
        <v>36</v>
      </c>
      <c r="T60" s="3" t="s">
        <v>28</v>
      </c>
      <c r="V60" s="171"/>
      <c r="W60" s="3" t="s">
        <v>20</v>
      </c>
      <c r="X60" s="3" t="s">
        <v>24</v>
      </c>
      <c r="Y60" s="3" t="s">
        <v>25</v>
      </c>
      <c r="Z60" s="3" t="s">
        <v>10</v>
      </c>
      <c r="AA60" s="3" t="s">
        <v>26</v>
      </c>
      <c r="AB60" s="3" t="s">
        <v>12</v>
      </c>
      <c r="AC60" s="3" t="s">
        <v>36</v>
      </c>
      <c r="AD60" s="3" t="s">
        <v>28</v>
      </c>
      <c r="AF60" s="171"/>
      <c r="AG60" s="3" t="s">
        <v>20</v>
      </c>
      <c r="AH60" s="3" t="s">
        <v>24</v>
      </c>
      <c r="AI60" s="3" t="s">
        <v>25</v>
      </c>
      <c r="AJ60" s="3" t="s">
        <v>10</v>
      </c>
      <c r="AK60" s="3" t="s">
        <v>26</v>
      </c>
      <c r="AL60" s="3" t="s">
        <v>12</v>
      </c>
      <c r="AM60" s="3" t="s">
        <v>36</v>
      </c>
      <c r="AN60" s="3" t="s">
        <v>28</v>
      </c>
    </row>
    <row r="61" spans="1:40" ht="15.75" outlineLevel="1" thickBot="1">
      <c r="B61" s="171"/>
      <c r="C61" s="101"/>
      <c r="D61" s="3" t="str">
        <f>IF(Table3222148[[#This Row],[Course]]= "","",IFERROR(VLOOKUP(Table3222148[[#This Row],[Course]],COURSELIST[],2,FALSE),"Course Not Found!"))</f>
        <v/>
      </c>
      <c r="E61" s="3" t="str">
        <f>IF(Table3222148[[#This Row],[Course]]= "","",IFERROR(VLOOKUP(Table3222148[[#This Row],[Course]],COURSELIST[],3,FALSE),""))</f>
        <v/>
      </c>
      <c r="F61" s="3" t="str">
        <f>IF(Table3222148[[#This Row],[Course]]= "","",IFERROR(VLOOKUP(Table3222148[[#This Row],[Course]],COURSELIST[],4,FALSE),""))</f>
        <v/>
      </c>
      <c r="H61" s="3" t="str">
        <f>IF(Table3222148[[#This Row],[Course]]= "","",IFERROR(VLOOKUP(Table3222148[[#This Row],[Course]],COURSELIST[],6,FALSE),""))</f>
        <v/>
      </c>
      <c r="I61" s="3" t="str">
        <f>IF(Table3222148[[#This Row],[Course]]= "","",IFERROR(VLOOKUP(Table3222148[[#This Row],[Course]],COURSELIST[],7,FALSE),""))</f>
        <v/>
      </c>
      <c r="J61" s="3" t="str">
        <f>IF(Table3222148[[#This Row],[Course]]= "","",IFERROR(VLOOKUP(Table3222148[[#This Row],[Course]],COURSELIST[],8,FALSE),""))</f>
        <v/>
      </c>
      <c r="L61" s="171"/>
      <c r="M61" s="28"/>
      <c r="N61" s="3" t="str">
        <f>IF(Table14334450[[#This Row],[Course]]= "","",IFERROR(VLOOKUP(Table14334450[[#This Row],[Course]],COURSELIST[],2,FALSE),"Course Not Found!"))</f>
        <v/>
      </c>
      <c r="O61" s="3" t="str">
        <f>IF(Table14334450[[#This Row],[Course]]= "","",IFERROR(VLOOKUP(Table14334450[[#This Row],[Course]],COURSELIST[],3,FALSE),""))</f>
        <v/>
      </c>
      <c r="P61" s="3" t="str">
        <f>IF(Table14334450[[#This Row],[Course]]= "","",IFERROR(VLOOKUP(Table14334450[[#This Row],[Course]],COURSELIST[],4,FALSE),""))</f>
        <v/>
      </c>
      <c r="R61" s="3" t="str">
        <f>IF(Table14334450[[#This Row],[Course]]= "","",IFERROR(VLOOKUP(Table14334450[[#This Row],[Course]],COURSELIST[],6,FALSE),""))</f>
        <v/>
      </c>
      <c r="S61" s="3" t="str">
        <f>IF(Table14334450[[#This Row],[Course]]= "","",IFERROR(VLOOKUP(Table14334450[[#This Row],[Course]],COURSELIST[],7,FALSE),""))</f>
        <v/>
      </c>
      <c r="T61" s="3" t="str">
        <f>IF(Table14334450[[#This Row],[Course]]= "","",IFERROR(VLOOKUP(Table14334450[[#This Row],[Course]],COURSELIST[],8,FALSE),""))</f>
        <v/>
      </c>
      <c r="V61" s="171"/>
      <c r="W61" s="26"/>
      <c r="X61" s="3" t="str">
        <f>IF(Table9283949[[#This Row],[Course]]= "","",IFERROR(VLOOKUP(Table9283949[[#This Row],[Course]],COURSELIST[],2,FALSE),"Course Not Found!"))</f>
        <v/>
      </c>
      <c r="Y61" s="3" t="str">
        <f>IF(Table9283949[[#This Row],[Course]]= "","",IFERROR(VLOOKUP(Table9283949[[#This Row],[Course]],COURSELIST[],3,FALSE),""))</f>
        <v/>
      </c>
      <c r="Z61" s="3" t="str">
        <f>IF(Table9283949[[#This Row],[Course]]= "","",IFERROR(VLOOKUP(Table9283949[[#This Row],[Course]],COURSELIST[],4,FALSE),""))</f>
        <v/>
      </c>
      <c r="AB61" s="3" t="str">
        <f>IF(Table9283949[[#This Row],[Course]]= "","",IFERROR(VLOOKUP(Table9283949[[#This Row],[Course]],COURSELIST[],6,FALSE),""))</f>
        <v/>
      </c>
      <c r="AC61" s="3" t="str">
        <f>IF(Table9283949[[#This Row],[Course]]= "","",IFERROR(VLOOKUP(Table9283949[[#This Row],[Course]],COURSELIST[],7,FALSE),""))</f>
        <v/>
      </c>
      <c r="AD61" s="3" t="str">
        <f>IF(Table9283949[[#This Row],[Course]]= "","",IFERROR(VLOOKUP(Table9283949[[#This Row],[Course]],COURSELIST[],8,FALSE),""))</f>
        <v/>
      </c>
      <c r="AF61" s="171"/>
      <c r="AG61" s="26"/>
      <c r="AH61" s="3" t="str">
        <f>IF(Table92839495255[[#This Row],[Course]]= "","",IFERROR(VLOOKUP(Table92839495255[[#This Row],[Course]],COURSELIST[],2,FALSE),"Course Not Found!"))</f>
        <v/>
      </c>
      <c r="AI61" s="3" t="str">
        <f>IF(Table92839495255[[#This Row],[Course]]= "","",IFERROR(VLOOKUP(Table92839495255[[#This Row],[Course]],COURSELIST[],3,FALSE),""))</f>
        <v/>
      </c>
      <c r="AJ61" s="3" t="str">
        <f>IF(Table92839495255[[#This Row],[Course]]= "","",IFERROR(VLOOKUP(Table92839495255[[#This Row],[Course]],COURSELIST[],4,FALSE),""))</f>
        <v/>
      </c>
      <c r="AL61" s="3" t="str">
        <f>IF(Table92839495255[[#This Row],[Course]]= "","",IFERROR(VLOOKUP(Table92839495255[[#This Row],[Course]],COURSELIST[],6,FALSE),""))</f>
        <v/>
      </c>
      <c r="AM61" s="3" t="str">
        <f>IF(Table92839495255[[#This Row],[Course]]= "","",IFERROR(VLOOKUP(Table92839495255[[#This Row],[Course]],COURSELIST[],7,FALSE),""))</f>
        <v/>
      </c>
      <c r="AN61" s="3" t="str">
        <f>IF(Table92839495255[[#This Row],[Course]]= "","",IFERROR(VLOOKUP(Table92839495255[[#This Row],[Course]],COURSELIST[],8,FALSE),""))</f>
        <v/>
      </c>
    </row>
    <row r="62" spans="1:40" ht="15.75" outlineLevel="1" thickBot="1">
      <c r="B62" s="171"/>
      <c r="C62" s="100"/>
      <c r="D62" s="3" t="str">
        <f>IF(Table3222148[[#This Row],[Course]]= "","",IFERROR(VLOOKUP(Table3222148[[#This Row],[Course]],COURSELIST[],2,FALSE),"Course Not Found!"))</f>
        <v/>
      </c>
      <c r="E62" s="3" t="str">
        <f>IF(Table3222148[[#This Row],[Course]]= "","",IFERROR(VLOOKUP(Table3222148[[#This Row],[Course]],COURSELIST[],3,FALSE),""))</f>
        <v/>
      </c>
      <c r="F62" s="3" t="str">
        <f>IF(Table3222148[[#This Row],[Course]]= "","",IFERROR(VLOOKUP(Table3222148[[#This Row],[Course]],COURSELIST[],4,FALSE),""))</f>
        <v/>
      </c>
      <c r="H62" s="3" t="str">
        <f>IF(Table3222148[[#This Row],[Course]]= "","",IFERROR(VLOOKUP(Table3222148[[#This Row],[Course]],COURSELIST[],6,FALSE),""))</f>
        <v/>
      </c>
      <c r="I62" s="3" t="str">
        <f>IF(Table3222148[[#This Row],[Course]]= "","",IFERROR(VLOOKUP(Table3222148[[#This Row],[Course]],COURSELIST[],7,FALSE),""))</f>
        <v/>
      </c>
      <c r="J62" s="3" t="str">
        <f>IF(Table3222148[[#This Row],[Course]]= "","",IFERROR(VLOOKUP(Table3222148[[#This Row],[Course]],COURSELIST[],8,FALSE),""))</f>
        <v/>
      </c>
      <c r="K62" s="5"/>
      <c r="L62" s="171"/>
      <c r="M62" s="26"/>
      <c r="N62" s="3" t="str">
        <f>IF(Table14334450[[#This Row],[Course]]= "","",IFERROR(VLOOKUP(Table14334450[[#This Row],[Course]],COURSELIST[],2,FALSE),"Course Not Found!"))</f>
        <v/>
      </c>
      <c r="O62" s="3" t="str">
        <f>IF(Table14334450[[#This Row],[Course]]= "","",IFERROR(VLOOKUP(Table14334450[[#This Row],[Course]],COURSELIST[],3,FALSE),""))</f>
        <v/>
      </c>
      <c r="P62" s="3" t="str">
        <f>IF(Table14334450[[#This Row],[Course]]= "","",IFERROR(VLOOKUP(Table14334450[[#This Row],[Course]],COURSELIST[],4,FALSE),""))</f>
        <v/>
      </c>
      <c r="R62" s="3" t="str">
        <f>IF(Table14334450[[#This Row],[Course]]= "","",IFERROR(VLOOKUP(Table14334450[[#This Row],[Course]],COURSELIST[],6,FALSE),""))</f>
        <v/>
      </c>
      <c r="S62" s="3" t="str">
        <f>IF(Table14334450[[#This Row],[Course]]= "","",IFERROR(VLOOKUP(Table14334450[[#This Row],[Course]],COURSELIST[],7,FALSE),""))</f>
        <v/>
      </c>
      <c r="T62" s="3" t="str">
        <f>IF(Table14334450[[#This Row],[Course]]= "","",IFERROR(VLOOKUP(Table14334450[[#This Row],[Course]],COURSELIST[],8,FALSE),""))</f>
        <v/>
      </c>
      <c r="U62" s="5"/>
      <c r="V62" s="171"/>
      <c r="W62" s="26"/>
      <c r="X62" s="3" t="str">
        <f>IF(Table9283949[[#This Row],[Course]]= "","",IFERROR(VLOOKUP(Table9283949[[#This Row],[Course]],COURSELIST[],2,FALSE),"Course Not Found!"))</f>
        <v/>
      </c>
      <c r="Y62" s="3" t="str">
        <f>IF(Table9283949[[#This Row],[Course]]= "","",IFERROR(VLOOKUP(Table9283949[[#This Row],[Course]],COURSELIST[],3,FALSE),""))</f>
        <v/>
      </c>
      <c r="Z62" s="3" t="str">
        <f>IF(Table9283949[[#This Row],[Course]]= "","",IFERROR(VLOOKUP(Table9283949[[#This Row],[Course]],COURSELIST[],4,FALSE),""))</f>
        <v/>
      </c>
      <c r="AB62" s="3" t="str">
        <f>IF(Table9283949[[#This Row],[Course]]= "","",IFERROR(VLOOKUP(Table9283949[[#This Row],[Course]],COURSELIST[],6,FALSE),""))</f>
        <v/>
      </c>
      <c r="AC62" s="3" t="str">
        <f>IF(Table9283949[[#This Row],[Course]]= "","",IFERROR(VLOOKUP(Table9283949[[#This Row],[Course]],COURSELIST[],7,FALSE),""))</f>
        <v/>
      </c>
      <c r="AD62" s="3" t="str">
        <f>IF(Table9283949[[#This Row],[Course]]= "","",IFERROR(VLOOKUP(Table9283949[[#This Row],[Course]],COURSELIST[],8,FALSE),""))</f>
        <v/>
      </c>
      <c r="AF62" s="171"/>
      <c r="AG62" s="26"/>
      <c r="AH62" s="3" t="str">
        <f>IF(Table92839495255[[#This Row],[Course]]= "","",IFERROR(VLOOKUP(Table92839495255[[#This Row],[Course]],COURSELIST[],2,FALSE),"Course Not Found!"))</f>
        <v/>
      </c>
      <c r="AI62" s="3" t="str">
        <f>IF(Table92839495255[[#This Row],[Course]]= "","",IFERROR(VLOOKUP(Table92839495255[[#This Row],[Course]],COURSELIST[],3,FALSE),""))</f>
        <v/>
      </c>
      <c r="AJ62" s="3" t="str">
        <f>IF(Table92839495255[[#This Row],[Course]]= "","",IFERROR(VLOOKUP(Table92839495255[[#This Row],[Course]],COURSELIST[],4,FALSE),""))</f>
        <v/>
      </c>
      <c r="AL62" s="3" t="str">
        <f>IF(Table92839495255[[#This Row],[Course]]= "","",IFERROR(VLOOKUP(Table92839495255[[#This Row],[Course]],COURSELIST[],6,FALSE),""))</f>
        <v/>
      </c>
      <c r="AM62" s="3" t="str">
        <f>IF(Table92839495255[[#This Row],[Course]]= "","",IFERROR(VLOOKUP(Table92839495255[[#This Row],[Course]],COURSELIST[],7,FALSE),""))</f>
        <v/>
      </c>
      <c r="AN62" s="3" t="str">
        <f>IF(Table92839495255[[#This Row],[Course]]= "","",IFERROR(VLOOKUP(Table92839495255[[#This Row],[Course]],COURSELIST[],8,FALSE),""))</f>
        <v/>
      </c>
    </row>
    <row r="63" spans="1:40" ht="15.75" outlineLevel="1" thickBot="1">
      <c r="B63" s="171"/>
      <c r="C63" s="100"/>
      <c r="D63" s="3" t="str">
        <f>IF(Table3222148[[#This Row],[Course]]= "","",IFERROR(VLOOKUP(Table3222148[[#This Row],[Course]],COURSELIST[],2,FALSE),"Course Not Found!"))</f>
        <v/>
      </c>
      <c r="E63" s="3" t="str">
        <f>IF(Table3222148[[#This Row],[Course]]= "","",IFERROR(VLOOKUP(Table3222148[[#This Row],[Course]],COURSELIST[],3,FALSE),""))</f>
        <v/>
      </c>
      <c r="F63" s="3" t="str">
        <f>IF(Table3222148[[#This Row],[Course]]= "","",IFERROR(VLOOKUP(Table3222148[[#This Row],[Course]],COURSELIST[],4,FALSE),""))</f>
        <v/>
      </c>
      <c r="H63" s="3" t="str">
        <f>IF(Table3222148[[#This Row],[Course]]= "","",IFERROR(VLOOKUP(Table3222148[[#This Row],[Course]],COURSELIST[],6,FALSE),""))</f>
        <v/>
      </c>
      <c r="I63" s="3" t="str">
        <f>IF(Table3222148[[#This Row],[Course]]= "","",IFERROR(VLOOKUP(Table3222148[[#This Row],[Course]],COURSELIST[],7,FALSE),""))</f>
        <v/>
      </c>
      <c r="J63" s="3" t="str">
        <f>IF(Table3222148[[#This Row],[Course]]= "","",IFERROR(VLOOKUP(Table3222148[[#This Row],[Course]],COURSELIST[],8,FALSE),""))</f>
        <v/>
      </c>
      <c r="L63" s="171"/>
      <c r="M63" s="26"/>
      <c r="N63" s="3" t="str">
        <f>IF(Table14334450[[#This Row],[Course]]= "","",IFERROR(VLOOKUP(Table14334450[[#This Row],[Course]],COURSELIST[],2,FALSE),"Course Not Found!"))</f>
        <v/>
      </c>
      <c r="O63" s="3" t="str">
        <f>IF(Table14334450[[#This Row],[Course]]= "","",IFERROR(VLOOKUP(Table14334450[[#This Row],[Course]],COURSELIST[],3,FALSE),""))</f>
        <v/>
      </c>
      <c r="P63" s="3" t="str">
        <f>IF(Table14334450[[#This Row],[Course]]= "","",IFERROR(VLOOKUP(Table14334450[[#This Row],[Course]],COURSELIST[],4,FALSE),""))</f>
        <v/>
      </c>
      <c r="R63" s="3" t="str">
        <f>IF(Table14334450[[#This Row],[Course]]= "","",IFERROR(VLOOKUP(Table14334450[[#This Row],[Course]],COURSELIST[],6,FALSE),""))</f>
        <v/>
      </c>
      <c r="S63" s="3" t="str">
        <f>IF(Table14334450[[#This Row],[Course]]= "","",IFERROR(VLOOKUP(Table14334450[[#This Row],[Course]],COURSELIST[],7,FALSE),""))</f>
        <v/>
      </c>
      <c r="T63" s="3" t="str">
        <f>IF(Table14334450[[#This Row],[Course]]= "","",IFERROR(VLOOKUP(Table14334450[[#This Row],[Course]],COURSELIST[],8,FALSE),""))</f>
        <v/>
      </c>
      <c r="V63" s="171"/>
      <c r="W63" s="17"/>
      <c r="X63" s="3" t="str">
        <f>IF(Table9283949[[#This Row],[Course]]= "","",IFERROR(VLOOKUP(Table9283949[[#This Row],[Course]],COURSELIST[],2,FALSE),"Course Not Found!"))</f>
        <v/>
      </c>
      <c r="Y63" s="3" t="str">
        <f>IF(Table9283949[[#This Row],[Course]]= "","",IFERROR(VLOOKUP(Table9283949[[#This Row],[Course]],COURSELIST[],3,FALSE),""))</f>
        <v/>
      </c>
      <c r="Z63" s="3" t="str">
        <f>IF(Table9283949[[#This Row],[Course]]= "","",IFERROR(VLOOKUP(Table9283949[[#This Row],[Course]],COURSELIST[],4,FALSE),""))</f>
        <v/>
      </c>
      <c r="AB63" s="3" t="str">
        <f>IF(Table9283949[[#This Row],[Course]]= "","",IFERROR(VLOOKUP(Table9283949[[#This Row],[Course]],COURSELIST[],6,FALSE),""))</f>
        <v/>
      </c>
      <c r="AC63" s="3" t="str">
        <f>IF(Table9283949[[#This Row],[Course]]= "","",IFERROR(VLOOKUP(Table9283949[[#This Row],[Course]],COURSELIST[],7,FALSE),""))</f>
        <v/>
      </c>
      <c r="AD63" s="3" t="str">
        <f>IF(Table9283949[[#This Row],[Course]]= "","",IFERROR(VLOOKUP(Table9283949[[#This Row],[Course]],COURSELIST[],8,FALSE),""))</f>
        <v/>
      </c>
      <c r="AF63" s="171"/>
      <c r="AG63" s="17"/>
      <c r="AH63" s="3" t="str">
        <f>IF(Table92839495255[[#This Row],[Course]]= "","",IFERROR(VLOOKUP(Table92839495255[[#This Row],[Course]],COURSELIST[],2,FALSE),"Course Not Found!"))</f>
        <v/>
      </c>
      <c r="AI63" s="3" t="str">
        <f>IF(Table92839495255[[#This Row],[Course]]= "","",IFERROR(VLOOKUP(Table92839495255[[#This Row],[Course]],COURSELIST[],3,FALSE),""))</f>
        <v/>
      </c>
      <c r="AJ63" s="3" t="str">
        <f>IF(Table92839495255[[#This Row],[Course]]= "","",IFERROR(VLOOKUP(Table92839495255[[#This Row],[Course]],COURSELIST[],4,FALSE),""))</f>
        <v/>
      </c>
      <c r="AL63" s="3" t="str">
        <f>IF(Table92839495255[[#This Row],[Course]]= "","",IFERROR(VLOOKUP(Table92839495255[[#This Row],[Course]],COURSELIST[],6,FALSE),""))</f>
        <v/>
      </c>
      <c r="AM63" s="3" t="str">
        <f>IF(Table92839495255[[#This Row],[Course]]= "","",IFERROR(VLOOKUP(Table92839495255[[#This Row],[Course]],COURSELIST[],7,FALSE),""))</f>
        <v/>
      </c>
      <c r="AN63" s="3" t="str">
        <f>IF(Table92839495255[[#This Row],[Course]]= "","",IFERROR(VLOOKUP(Table92839495255[[#This Row],[Course]],COURSELIST[],8,FALSE),""))</f>
        <v/>
      </c>
    </row>
    <row r="64" spans="1:40" ht="15.75" outlineLevel="1" thickBot="1">
      <c r="B64" s="171"/>
      <c r="C64" s="100"/>
      <c r="D64" s="3" t="str">
        <f>IF(Table3222148[[#This Row],[Course]]= "","",IFERROR(VLOOKUP(Table3222148[[#This Row],[Course]],COURSELIST[],2,FALSE),"Course Not Found!"))</f>
        <v/>
      </c>
      <c r="E64" s="3" t="str">
        <f>IF(Table3222148[[#This Row],[Course]]= "","",IFERROR(VLOOKUP(Table3222148[[#This Row],[Course]],COURSELIST[],3,FALSE),""))</f>
        <v/>
      </c>
      <c r="F64" s="3" t="str">
        <f>IF(Table3222148[[#This Row],[Course]]= "","",IFERROR(VLOOKUP(Table3222148[[#This Row],[Course]],COURSELIST[],4,FALSE),""))</f>
        <v/>
      </c>
      <c r="H64" s="3" t="str">
        <f>IF(Table3222148[[#This Row],[Course]]= "","",IFERROR(VLOOKUP(Table3222148[[#This Row],[Course]],COURSELIST[],6,FALSE),""))</f>
        <v/>
      </c>
      <c r="I64" s="3" t="str">
        <f>IF(Table3222148[[#This Row],[Course]]= "","",IFERROR(VLOOKUP(Table3222148[[#This Row],[Course]],COURSELIST[],7,FALSE),""))</f>
        <v/>
      </c>
      <c r="J64" s="3" t="str">
        <f>IF(Table3222148[[#This Row],[Course]]= "","",IFERROR(VLOOKUP(Table3222148[[#This Row],[Course]],COURSELIST[],8,FALSE),""))</f>
        <v/>
      </c>
      <c r="L64" s="171"/>
      <c r="M64" s="26"/>
      <c r="N64" s="3" t="str">
        <f>IF(Table14334450[[#This Row],[Course]]= "","",IFERROR(VLOOKUP(Table14334450[[#This Row],[Course]],COURSELIST[],2,FALSE),"Course Not Found!"))</f>
        <v/>
      </c>
      <c r="O64" s="3" t="str">
        <f>IF(Table14334450[[#This Row],[Course]]= "","",IFERROR(VLOOKUP(Table14334450[[#This Row],[Course]],COURSELIST[],3,FALSE),""))</f>
        <v/>
      </c>
      <c r="P64" s="3" t="str">
        <f>IF(Table14334450[[#This Row],[Course]]= "","",IFERROR(VLOOKUP(Table14334450[[#This Row],[Course]],COURSELIST[],4,FALSE),""))</f>
        <v/>
      </c>
      <c r="R64" s="3" t="str">
        <f>IF(Table14334450[[#This Row],[Course]]= "","",IFERROR(VLOOKUP(Table14334450[[#This Row],[Course]],COURSELIST[],6,FALSE),""))</f>
        <v/>
      </c>
      <c r="S64" s="3" t="str">
        <f>IF(Table14334450[[#This Row],[Course]]= "","",IFERROR(VLOOKUP(Table14334450[[#This Row],[Course]],COURSELIST[],7,FALSE),""))</f>
        <v/>
      </c>
      <c r="T64" s="3" t="str">
        <f>IF(Table14334450[[#This Row],[Course]]= "","",IFERROR(VLOOKUP(Table14334450[[#This Row],[Course]],COURSELIST[],8,FALSE),""))</f>
        <v/>
      </c>
      <c r="V64" s="171"/>
      <c r="W64" s="17"/>
      <c r="X64" s="3" t="str">
        <f>IF(Table9283949[[#This Row],[Course]]= "","",IFERROR(VLOOKUP(Table9283949[[#This Row],[Course]],COURSELIST[],2,FALSE),"Course Not Found!"))</f>
        <v/>
      </c>
      <c r="Y64" s="3" t="str">
        <f>IF(Table9283949[[#This Row],[Course]]= "","",IFERROR(VLOOKUP(Table9283949[[#This Row],[Course]],COURSELIST[],3,FALSE),""))</f>
        <v/>
      </c>
      <c r="Z64" s="3" t="str">
        <f>IF(Table9283949[[#This Row],[Course]]= "","",IFERROR(VLOOKUP(Table9283949[[#This Row],[Course]],COURSELIST[],4,FALSE),""))</f>
        <v/>
      </c>
      <c r="AB64" s="3" t="str">
        <f>IF(Table9283949[[#This Row],[Course]]= "","",IFERROR(VLOOKUP(Table9283949[[#This Row],[Course]],COURSELIST[],6,FALSE),""))</f>
        <v/>
      </c>
      <c r="AC64" s="3" t="str">
        <f>IF(Table9283949[[#This Row],[Course]]= "","",IFERROR(VLOOKUP(Table9283949[[#This Row],[Course]],COURSELIST[],7,FALSE),""))</f>
        <v/>
      </c>
      <c r="AD64" s="3" t="str">
        <f>IF(Table9283949[[#This Row],[Course]]= "","",IFERROR(VLOOKUP(Table9283949[[#This Row],[Course]],COURSELIST[],8,FALSE),""))</f>
        <v/>
      </c>
      <c r="AF64" s="171"/>
      <c r="AG64" s="17"/>
      <c r="AH64" s="3" t="str">
        <f>IF(Table92839495255[[#This Row],[Course]]= "","",IFERROR(VLOOKUP(Table92839495255[[#This Row],[Course]],COURSELIST[],2,FALSE),"Course Not Found!"))</f>
        <v/>
      </c>
      <c r="AI64" s="3" t="str">
        <f>IF(Table92839495255[[#This Row],[Course]]= "","",IFERROR(VLOOKUP(Table92839495255[[#This Row],[Course]],COURSELIST[],3,FALSE),""))</f>
        <v/>
      </c>
      <c r="AJ64" s="3" t="str">
        <f>IF(Table92839495255[[#This Row],[Course]]= "","",IFERROR(VLOOKUP(Table92839495255[[#This Row],[Course]],COURSELIST[],4,FALSE),""))</f>
        <v/>
      </c>
      <c r="AL64" s="3" t="str">
        <f>IF(Table92839495255[[#This Row],[Course]]= "","",IFERROR(VLOOKUP(Table92839495255[[#This Row],[Course]],COURSELIST[],6,FALSE),""))</f>
        <v/>
      </c>
      <c r="AM64" s="3" t="str">
        <f>IF(Table92839495255[[#This Row],[Course]]= "","",IFERROR(VLOOKUP(Table92839495255[[#This Row],[Course]],COURSELIST[],7,FALSE),""))</f>
        <v/>
      </c>
      <c r="AN64" s="3" t="str">
        <f>IF(Table92839495255[[#This Row],[Course]]= "","",IFERROR(VLOOKUP(Table92839495255[[#This Row],[Course]],COURSELIST[],8,FALSE),""))</f>
        <v/>
      </c>
    </row>
    <row r="65" spans="1:40" ht="15.75" outlineLevel="1" thickBot="1">
      <c r="B65" s="171"/>
      <c r="C65" s="100"/>
      <c r="D65" s="3" t="str">
        <f>IF(Table3222148[[#This Row],[Course]]= "","",IFERROR(VLOOKUP(Table3222148[[#This Row],[Course]],COURSELIST[],2,FALSE),"Course Not Found!"))</f>
        <v/>
      </c>
      <c r="E65" s="3" t="str">
        <f>IF(Table3222148[[#This Row],[Course]]= "","",IFERROR(VLOOKUP(Table3222148[[#This Row],[Course]],COURSELIST[],3,FALSE),""))</f>
        <v/>
      </c>
      <c r="F65" s="3" t="str">
        <f>IF(Table3222148[[#This Row],[Course]]= "","",IFERROR(VLOOKUP(Table3222148[[#This Row],[Course]],COURSELIST[],4,FALSE),""))</f>
        <v/>
      </c>
      <c r="H65" s="3" t="str">
        <f>IF(Table3222148[[#This Row],[Course]]= "","",IFERROR(VLOOKUP(Table3222148[[#This Row],[Course]],COURSELIST[],6,FALSE),""))</f>
        <v/>
      </c>
      <c r="I65" s="3" t="str">
        <f>IF(Table3222148[[#This Row],[Course]]= "","",IFERROR(VLOOKUP(Table3222148[[#This Row],[Course]],COURSELIST[],7,FALSE),""))</f>
        <v/>
      </c>
      <c r="J65" s="3" t="str">
        <f>IF(Table3222148[[#This Row],[Course]]= "","",IFERROR(VLOOKUP(Table3222148[[#This Row],[Course]],COURSELIST[],8,FALSE),""))</f>
        <v/>
      </c>
      <c r="L65" s="171"/>
      <c r="M65" s="18"/>
      <c r="N65" s="3" t="str">
        <f>IF(Table14334450[[#This Row],[Course]]= "","",IFERROR(VLOOKUP(Table14334450[[#This Row],[Course]],COURSELIST[],2,FALSE),"Course Not Found!"))</f>
        <v/>
      </c>
      <c r="O65" s="3" t="str">
        <f>IF(Table14334450[[#This Row],[Course]]= "","",IFERROR(VLOOKUP(Table14334450[[#This Row],[Course]],COURSELIST[],3,FALSE),""))</f>
        <v/>
      </c>
      <c r="P65" s="3" t="str">
        <f>IF(Table14334450[[#This Row],[Course]]= "","",IFERROR(VLOOKUP(Table14334450[[#This Row],[Course]],COURSELIST[],4,FALSE),""))</f>
        <v/>
      </c>
      <c r="R65" s="3" t="str">
        <f>IF(Table14334450[[#This Row],[Course]]= "","",IFERROR(VLOOKUP(Table14334450[[#This Row],[Course]],COURSELIST[],6,FALSE),""))</f>
        <v/>
      </c>
      <c r="S65" s="3" t="str">
        <f>IF(Table14334450[[#This Row],[Course]]= "","",IFERROR(VLOOKUP(Table14334450[[#This Row],[Course]],COURSELIST[],7,FALSE),""))</f>
        <v/>
      </c>
      <c r="T65" s="5" t="str">
        <f>IF(Table14334450[[#This Row],[Course]]= "","",IFERROR(VLOOKUP(Table14334450[[#This Row],[Course]],COURSELIST[],8,FALSE),""))</f>
        <v/>
      </c>
      <c r="V65" s="171"/>
      <c r="W65" s="26"/>
      <c r="X65" s="3" t="str">
        <f>IF(Table9283949[[#This Row],[Course]]= "","",IFERROR(VLOOKUP(Table9283949[[#This Row],[Course]],COURSELIST[],2,FALSE),"Course Not Found!"))</f>
        <v/>
      </c>
      <c r="Y65" s="3" t="str">
        <f>IF(Table9283949[[#This Row],[Course]]= "","",IFERROR(VLOOKUP(Table9283949[[#This Row],[Course]],COURSELIST[],3,FALSE),""))</f>
        <v/>
      </c>
      <c r="Z65" s="3" t="str">
        <f>IF(Table9283949[[#This Row],[Course]]= "","",IFERROR(VLOOKUP(Table9283949[[#This Row],[Course]],COURSELIST[],4,FALSE),""))</f>
        <v/>
      </c>
      <c r="AB65" s="3" t="str">
        <f>IF(Table9283949[[#This Row],[Course]]= "","",IFERROR(VLOOKUP(Table9283949[[#This Row],[Course]],COURSELIST[],6,FALSE),""))</f>
        <v/>
      </c>
      <c r="AC65" s="3" t="str">
        <f>IF(Table9283949[[#This Row],[Course]]= "","",IFERROR(VLOOKUP(Table9283949[[#This Row],[Course]],COURSELIST[],7,FALSE),""))</f>
        <v/>
      </c>
      <c r="AD65" s="3" t="str">
        <f>IF(Table9283949[[#This Row],[Course]]= "","",IFERROR(VLOOKUP(Table9283949[[#This Row],[Course]],COURSELIST[],8,FALSE),""))</f>
        <v/>
      </c>
      <c r="AF65" s="171"/>
      <c r="AG65" s="26"/>
      <c r="AH65" s="3" t="str">
        <f>IF(Table92839495255[[#This Row],[Course]]= "","",IFERROR(VLOOKUP(Table92839495255[[#This Row],[Course]],COURSELIST[],2,FALSE),"Course Not Found!"))</f>
        <v/>
      </c>
      <c r="AI65" s="3" t="str">
        <f>IF(Table92839495255[[#This Row],[Course]]= "","",IFERROR(VLOOKUP(Table92839495255[[#This Row],[Course]],COURSELIST[],3,FALSE),""))</f>
        <v/>
      </c>
      <c r="AJ65" s="3" t="str">
        <f>IF(Table92839495255[[#This Row],[Course]]= "","",IFERROR(VLOOKUP(Table92839495255[[#This Row],[Course]],COURSELIST[],4,FALSE),""))</f>
        <v/>
      </c>
      <c r="AL65" s="3" t="str">
        <f>IF(Table92839495255[[#This Row],[Course]]= "","",IFERROR(VLOOKUP(Table92839495255[[#This Row],[Course]],COURSELIST[],6,FALSE),""))</f>
        <v/>
      </c>
      <c r="AM65" s="3" t="str">
        <f>IF(Table92839495255[[#This Row],[Course]]= "","",IFERROR(VLOOKUP(Table92839495255[[#This Row],[Course]],COURSELIST[],7,FALSE),""))</f>
        <v/>
      </c>
      <c r="AN65" s="3" t="str">
        <f>IF(Table92839495255[[#This Row],[Course]]= "","",IFERROR(VLOOKUP(Table92839495255[[#This Row],[Course]],COURSELIST[],8,FALSE),""))</f>
        <v/>
      </c>
    </row>
    <row r="66" spans="1:40" ht="15.75" outlineLevel="1" thickBot="1">
      <c r="B66" s="171"/>
      <c r="C66" s="26"/>
      <c r="D66" s="3" t="str">
        <f>IF(Table3222148[[#This Row],[Course]]= "","",IFERROR(VLOOKUP(Table3222148[[#This Row],[Course]],COURSELIST[],2,FALSE),"Course Not Found!"))</f>
        <v/>
      </c>
      <c r="E66" s="3" t="str">
        <f>IF(Table3222148[[#This Row],[Course]]= "","",IFERROR(VLOOKUP(Table3222148[[#This Row],[Course]],COURSELIST[],3,FALSE),""))</f>
        <v/>
      </c>
      <c r="F66" s="3" t="str">
        <f>IF(Table3222148[[#This Row],[Course]]= "","",IFERROR(VLOOKUP(Table3222148[[#This Row],[Course]],COURSELIST[],4,FALSE),""))</f>
        <v/>
      </c>
      <c r="H66" s="3" t="str">
        <f>IF(Table3222148[[#This Row],[Course]]= "","",IFERROR(VLOOKUP(Table3222148[[#This Row],[Course]],COURSELIST[],6,FALSE),""))</f>
        <v/>
      </c>
      <c r="I66" s="3" t="str">
        <f>IF(Table3222148[[#This Row],[Course]]= "","",IFERROR(VLOOKUP(Table3222148[[#This Row],[Course]],COURSELIST[],7,FALSE),""))</f>
        <v/>
      </c>
      <c r="J66" s="3" t="str">
        <f>IF(Table3222148[[#This Row],[Course]]= "","",IFERROR(VLOOKUP(Table3222148[[#This Row],[Course]],COURSELIST[],8,FALSE),""))</f>
        <v/>
      </c>
      <c r="L66" s="171"/>
      <c r="M66" s="17"/>
      <c r="N66" s="3" t="str">
        <f>IF(Table14334450[[#This Row],[Course]]= "","",IFERROR(VLOOKUP(Table14334450[[#This Row],[Course]],COURSELIST[],2,FALSE),"Course Not Found!"))</f>
        <v/>
      </c>
      <c r="O66" s="3" t="str">
        <f>IF(Table14334450[[#This Row],[Course]]= "","",IFERROR(VLOOKUP(Table14334450[[#This Row],[Course]],COURSELIST[],3,FALSE),""))</f>
        <v/>
      </c>
      <c r="P66" s="3" t="str">
        <f>IF(Table14334450[[#This Row],[Course]]= "","",IFERROR(VLOOKUP(Table14334450[[#This Row],[Course]],COURSELIST[],4,FALSE),""))</f>
        <v/>
      </c>
      <c r="R66" s="3" t="str">
        <f>IF(Table14334450[[#This Row],[Course]]= "","",IFERROR(VLOOKUP(Table14334450[[#This Row],[Course]],COURSELIST[],6,FALSE),""))</f>
        <v/>
      </c>
      <c r="S66" s="3" t="str">
        <f>IF(Table14334450[[#This Row],[Course]]= "","",IFERROR(VLOOKUP(Table14334450[[#This Row],[Course]],COURSELIST[],7,FALSE),""))</f>
        <v/>
      </c>
      <c r="T66" s="3" t="str">
        <f>IF(Table14334450[[#This Row],[Course]]= "","",IFERROR(VLOOKUP(Table14334450[[#This Row],[Course]],COURSELIST[],8,FALSE),""))</f>
        <v/>
      </c>
      <c r="V66" s="171"/>
      <c r="W66" s="26"/>
      <c r="X66" s="3" t="str">
        <f>IF(Table9283949[[#This Row],[Course]]= "","",IFERROR(VLOOKUP(Table9283949[[#This Row],[Course]],COURSELIST[],2,FALSE),"Course Not Found!"))</f>
        <v/>
      </c>
      <c r="Y66" s="3" t="str">
        <f>IF(Table9283949[[#This Row],[Course]]= "","",IFERROR(VLOOKUP(Table9283949[[#This Row],[Course]],COURSELIST[],3,FALSE),""))</f>
        <v/>
      </c>
      <c r="Z66" s="3" t="str">
        <f>IF(Table9283949[[#This Row],[Course]]= "","",IFERROR(VLOOKUP(Table9283949[[#This Row],[Course]],COURSELIST[],4,FALSE),""))</f>
        <v/>
      </c>
      <c r="AB66" s="3" t="str">
        <f>IF(Table9283949[[#This Row],[Course]]= "","",IFERROR(VLOOKUP(Table9283949[[#This Row],[Course]],COURSELIST[],6,FALSE),""))</f>
        <v/>
      </c>
      <c r="AC66" s="3" t="str">
        <f>IF(Table9283949[[#This Row],[Course]]= "","",IFERROR(VLOOKUP(Table9283949[[#This Row],[Course]],COURSELIST[],7,FALSE),""))</f>
        <v/>
      </c>
      <c r="AD66" s="3" t="str">
        <f>IF(Table9283949[[#This Row],[Course]]= "","",IFERROR(VLOOKUP(Table9283949[[#This Row],[Course]],COURSELIST[],8,FALSE),""))</f>
        <v/>
      </c>
      <c r="AF66" s="171"/>
      <c r="AG66" s="26"/>
      <c r="AH66" s="3" t="str">
        <f>IF(Table92839495255[[#This Row],[Course]]= "","",IFERROR(VLOOKUP(Table92839495255[[#This Row],[Course]],COURSELIST[],2,FALSE),"Course Not Found!"))</f>
        <v/>
      </c>
      <c r="AI66" s="3" t="str">
        <f>IF(Table92839495255[[#This Row],[Course]]= "","",IFERROR(VLOOKUP(Table92839495255[[#This Row],[Course]],COURSELIST[],3,FALSE),""))</f>
        <v/>
      </c>
      <c r="AJ66" s="3" t="str">
        <f>IF(Table92839495255[[#This Row],[Course]]= "","",IFERROR(VLOOKUP(Table92839495255[[#This Row],[Course]],COURSELIST[],4,FALSE),""))</f>
        <v/>
      </c>
      <c r="AL66" s="3" t="str">
        <f>IF(Table92839495255[[#This Row],[Course]]= "","",IFERROR(VLOOKUP(Table92839495255[[#This Row],[Course]],COURSELIST[],6,FALSE),""))</f>
        <v/>
      </c>
      <c r="AM66" s="3" t="str">
        <f>IF(Table92839495255[[#This Row],[Course]]= "","",IFERROR(VLOOKUP(Table92839495255[[#This Row],[Course]],COURSELIST[],7,FALSE),""))</f>
        <v/>
      </c>
      <c r="AN66" s="3" t="str">
        <f>IF(Table92839495255[[#This Row],[Course]]= "","",IFERROR(VLOOKUP(Table92839495255[[#This Row],[Course]],COURSELIST[],8,FALSE),""))</f>
        <v/>
      </c>
    </row>
    <row r="67" spans="1:40" ht="15.75" outlineLevel="1" thickBot="1">
      <c r="B67" s="171"/>
      <c r="C67" s="26"/>
      <c r="D67" s="3" t="str">
        <f>IF(Table3222148[[#This Row],[Course]]= "","",IFERROR(VLOOKUP(Table3222148[[#This Row],[Course]],COURSELIST[],2,FALSE),"Course Not Found!"))</f>
        <v/>
      </c>
      <c r="E67" s="3" t="str">
        <f>IF(Table3222148[[#This Row],[Course]]= "","",IFERROR(VLOOKUP(Table3222148[[#This Row],[Course]],COURSELIST[],3,FALSE),""))</f>
        <v/>
      </c>
      <c r="F67" s="3" t="str">
        <f>IF(Table3222148[[#This Row],[Course]]= "","",IFERROR(VLOOKUP(Table3222148[[#This Row],[Course]],COURSELIST[],4,FALSE),""))</f>
        <v/>
      </c>
      <c r="H67" s="3" t="str">
        <f>IF(Table3222148[[#This Row],[Course]]= "","",IFERROR(VLOOKUP(Table3222148[[#This Row],[Course]],COURSELIST[],6,FALSE),""))</f>
        <v/>
      </c>
      <c r="I67" s="3" t="str">
        <f>IF(Table3222148[[#This Row],[Course]]= "","",IFERROR(VLOOKUP(Table3222148[[#This Row],[Course]],COURSELIST[],7,FALSE),""))</f>
        <v/>
      </c>
      <c r="J67" s="3" t="str">
        <f>IF(Table3222148[[#This Row],[Course]]= "","",IFERROR(VLOOKUP(Table3222148[[#This Row],[Course]],COURSELIST[],8,FALSE),""))</f>
        <v/>
      </c>
      <c r="L67" s="171"/>
      <c r="M67" s="29"/>
      <c r="N67" s="3" t="str">
        <f>IF(Table14334450[[#This Row],[Course]]= "","",IFERROR(VLOOKUP(Table14334450[[#This Row],[Course]],COURSELIST[],2,FALSE),"Course Not Found!"))</f>
        <v/>
      </c>
      <c r="O67" s="3" t="str">
        <f>IF(Table14334450[[#This Row],[Course]]= "","",IFERROR(VLOOKUP(Table14334450[[#This Row],[Course]],COURSELIST[],3,FALSE),""))</f>
        <v/>
      </c>
      <c r="P67" s="3" t="str">
        <f>IF(Table14334450[[#This Row],[Course]]= "","",IFERROR(VLOOKUP(Table14334450[[#This Row],[Course]],COURSELIST[],4,FALSE),""))</f>
        <v/>
      </c>
      <c r="R67" s="3" t="str">
        <f>IF(Table14334450[[#This Row],[Course]]= "","",IFERROR(VLOOKUP(Table14334450[[#This Row],[Course]],COURSELIST[],6,FALSE),""))</f>
        <v/>
      </c>
      <c r="S67" s="3" t="str">
        <f>IF(Table14334450[[#This Row],[Course]]= "","",IFERROR(VLOOKUP(Table14334450[[#This Row],[Course]],COURSELIST[],7,FALSE),""))</f>
        <v/>
      </c>
      <c r="T67" s="3" t="str">
        <f>IF(Table14334450[[#This Row],[Course]]= "","",IFERROR(VLOOKUP(Table14334450[[#This Row],[Course]],COURSELIST[],8,FALSE),""))</f>
        <v/>
      </c>
      <c r="V67" s="171"/>
      <c r="W67" s="29"/>
      <c r="X67" s="3" t="str">
        <f>IF(Table9283949[[#This Row],[Course]]= "","",IFERROR(VLOOKUP(Table9283949[[#This Row],[Course]],COURSELIST[],2,FALSE),"Course Not Found!"))</f>
        <v/>
      </c>
      <c r="Y67" s="3" t="str">
        <f>IF(Table9283949[[#This Row],[Course]]= "","",IFERROR(VLOOKUP(Table9283949[[#This Row],[Course]],COURSELIST[],3,FALSE),""))</f>
        <v/>
      </c>
      <c r="Z67" s="3" t="str">
        <f>IF(Table9283949[[#This Row],[Course]]= "","",IFERROR(VLOOKUP(Table9283949[[#This Row],[Course]],COURSELIST[],4,FALSE),""))</f>
        <v/>
      </c>
      <c r="AB67" s="3" t="str">
        <f>IF(Table9283949[[#This Row],[Course]]= "","",IFERROR(VLOOKUP(Table9283949[[#This Row],[Course]],COURSELIST[],6,FALSE),""))</f>
        <v/>
      </c>
      <c r="AC67" s="3" t="str">
        <f>IF(Table9283949[[#This Row],[Course]]= "","",IFERROR(VLOOKUP(Table9283949[[#This Row],[Course]],COURSELIST[],7,FALSE),""))</f>
        <v/>
      </c>
      <c r="AD67" s="3" t="str">
        <f>IF(Table9283949[[#This Row],[Course]]= "","",IFERROR(VLOOKUP(Table9283949[[#This Row],[Course]],COURSELIST[],8,FALSE),""))</f>
        <v/>
      </c>
      <c r="AF67" s="171"/>
      <c r="AG67" s="29"/>
      <c r="AH67" s="3" t="str">
        <f>IF(Table92839495255[[#This Row],[Course]]= "","",IFERROR(VLOOKUP(Table92839495255[[#This Row],[Course]],COURSELIST[],2,FALSE),"Course Not Found!"))</f>
        <v/>
      </c>
      <c r="AI67" s="3" t="str">
        <f>IF(Table92839495255[[#This Row],[Course]]= "","",IFERROR(VLOOKUP(Table92839495255[[#This Row],[Course]],COURSELIST[],3,FALSE),""))</f>
        <v/>
      </c>
      <c r="AJ67" s="3" t="str">
        <f>IF(Table92839495255[[#This Row],[Course]]= "","",IFERROR(VLOOKUP(Table92839495255[[#This Row],[Course]],COURSELIST[],4,FALSE),""))</f>
        <v/>
      </c>
      <c r="AL67" s="3" t="str">
        <f>IF(Table92839495255[[#This Row],[Course]]= "","",IFERROR(VLOOKUP(Table92839495255[[#This Row],[Course]],COURSELIST[],6,FALSE),""))</f>
        <v/>
      </c>
      <c r="AM67" s="3" t="str">
        <f>IF(Table92839495255[[#This Row],[Course]]= "","",IFERROR(VLOOKUP(Table92839495255[[#This Row],[Course]],COURSELIST[],7,FALSE),""))</f>
        <v/>
      </c>
      <c r="AN67" s="3" t="str">
        <f>IF(Table92839495255[[#This Row],[Course]]= "","",IFERROR(VLOOKUP(Table92839495255[[#This Row],[Course]],COURSELIST[],8,FALSE),""))</f>
        <v/>
      </c>
    </row>
    <row r="68" spans="1:40" outlineLevel="1">
      <c r="C68" s="20"/>
      <c r="E68" s="3" t="s">
        <v>10</v>
      </c>
      <c r="F68" s="3">
        <f>SUM(F61:F67)</f>
        <v>0</v>
      </c>
      <c r="G68" s="4"/>
      <c r="I68" s="3" t="s">
        <v>27</v>
      </c>
      <c r="J68" s="4">
        <f>SUM(J61:J67)</f>
        <v>0</v>
      </c>
      <c r="O68" s="3" t="s">
        <v>10</v>
      </c>
      <c r="P68" s="3">
        <f>SUM(P61:P67)</f>
        <v>0</v>
      </c>
      <c r="S68" s="3" t="s">
        <v>27</v>
      </c>
      <c r="T68" s="3">
        <f>SUM(T61:T67)</f>
        <v>0</v>
      </c>
      <c r="Y68" s="3" t="s">
        <v>10</v>
      </c>
      <c r="Z68" s="3">
        <f>SUM(Z61:Z67)</f>
        <v>0</v>
      </c>
      <c r="AC68" s="3" t="s">
        <v>27</v>
      </c>
      <c r="AD68" s="3">
        <f>SUM(AD61:AD67)</f>
        <v>0</v>
      </c>
      <c r="AI68" s="3" t="s">
        <v>10</v>
      </c>
      <c r="AJ68" s="3">
        <f>SUM(AJ61:AJ67)</f>
        <v>0</v>
      </c>
      <c r="AM68" s="3" t="s">
        <v>27</v>
      </c>
      <c r="AN68" s="3">
        <f>SUM(AN61:AN67)</f>
        <v>0</v>
      </c>
    </row>
    <row r="69" spans="1:40" outlineLevel="1">
      <c r="C69" s="20"/>
      <c r="E69" s="3" t="s">
        <v>18</v>
      </c>
      <c r="F69" s="3">
        <f>F68+AJ55</f>
        <v>161</v>
      </c>
      <c r="G69" s="4"/>
      <c r="I69" s="3" t="s">
        <v>17</v>
      </c>
      <c r="J69" s="4">
        <f>J68+AN55</f>
        <v>238.58</v>
      </c>
      <c r="O69" s="3" t="s">
        <v>18</v>
      </c>
      <c r="P69" s="3">
        <f>P68+F69</f>
        <v>161</v>
      </c>
      <c r="S69" s="3" t="s">
        <v>17</v>
      </c>
      <c r="T69" s="3">
        <f>T68+J69</f>
        <v>238.58</v>
      </c>
      <c r="Y69" s="3" t="s">
        <v>18</v>
      </c>
      <c r="Z69" s="3">
        <f>Z68+P69</f>
        <v>161</v>
      </c>
      <c r="AC69" s="3" t="s">
        <v>17</v>
      </c>
      <c r="AD69" s="3">
        <f>AD68+T69</f>
        <v>238.58</v>
      </c>
      <c r="AI69" s="3" t="s">
        <v>18</v>
      </c>
      <c r="AJ69" s="3">
        <f>AJ68+Z69</f>
        <v>161</v>
      </c>
      <c r="AM69" s="3" t="s">
        <v>17</v>
      </c>
      <c r="AN69" s="3">
        <f>AN68+AD69</f>
        <v>238.58</v>
      </c>
    </row>
    <row r="70" spans="1:40" outlineLevel="1">
      <c r="C70" s="20"/>
      <c r="E70" s="5" t="s">
        <v>19</v>
      </c>
      <c r="F70" s="5">
        <f>F68+AJ56</f>
        <v>150</v>
      </c>
      <c r="G70" s="25"/>
      <c r="I70" s="3" t="s">
        <v>14</v>
      </c>
      <c r="J70" s="4" t="e">
        <f>J68/F68</f>
        <v>#DIV/0!</v>
      </c>
      <c r="O70" s="5" t="s">
        <v>19</v>
      </c>
      <c r="P70" s="5">
        <f>P68+F70</f>
        <v>150</v>
      </c>
      <c r="Q70" s="5"/>
      <c r="S70" s="3" t="s">
        <v>14</v>
      </c>
      <c r="T70" s="3" t="e">
        <f>T68/P68</f>
        <v>#DIV/0!</v>
      </c>
      <c r="W70" s="5"/>
      <c r="X70" s="5"/>
      <c r="Y70" s="5" t="s">
        <v>19</v>
      </c>
      <c r="Z70" s="5">
        <f>Z68+P70</f>
        <v>150</v>
      </c>
      <c r="AA70" s="5"/>
      <c r="AC70" s="3" t="s">
        <v>14</v>
      </c>
      <c r="AD70" s="3" t="e">
        <f>AD68/Z68</f>
        <v>#DIV/0!</v>
      </c>
      <c r="AG70" s="5"/>
      <c r="AH70" s="5"/>
      <c r="AI70" s="5" t="s">
        <v>19</v>
      </c>
      <c r="AJ70" s="5">
        <f>AJ68+Z70</f>
        <v>150</v>
      </c>
      <c r="AK70" s="5"/>
      <c r="AM70" s="3" t="s">
        <v>14</v>
      </c>
      <c r="AN70" s="3" t="e">
        <f>AN68/AJ68</f>
        <v>#DIV/0!</v>
      </c>
    </row>
    <row r="71" spans="1:40" ht="21.75" outlineLevel="1" thickBot="1">
      <c r="C71" s="20"/>
      <c r="G71" s="4"/>
      <c r="H71" s="24"/>
      <c r="I71" s="5" t="s">
        <v>16</v>
      </c>
      <c r="J71" s="25">
        <f>J69/F70</f>
        <v>1.5905333333333334</v>
      </c>
      <c r="M71" s="5"/>
      <c r="N71" s="5"/>
      <c r="S71" s="5" t="s">
        <v>16</v>
      </c>
      <c r="T71" s="5">
        <f>T69/P70</f>
        <v>1.5905333333333334</v>
      </c>
      <c r="AC71" s="5" t="s">
        <v>16</v>
      </c>
      <c r="AD71" s="5">
        <f>AD69/Z70</f>
        <v>1.5905333333333334</v>
      </c>
      <c r="AM71" s="5" t="s">
        <v>16</v>
      </c>
      <c r="AN71" s="5">
        <f>AN69/AJ70</f>
        <v>1.5905333333333334</v>
      </c>
    </row>
    <row r="72" spans="1:40" ht="21.75" thickBot="1">
      <c r="A72" s="89" t="s">
        <v>592</v>
      </c>
      <c r="D72" s="98"/>
      <c r="J72" s="24"/>
    </row>
    <row r="73" spans="1:40" ht="23.25" customHeight="1" outlineLevel="1" thickBot="1">
      <c r="B73" s="171" t="s">
        <v>607</v>
      </c>
      <c r="C73" s="179" t="s">
        <v>593</v>
      </c>
      <c r="D73" s="180"/>
      <c r="E73" s="181"/>
      <c r="F73" s="164" t="str">
        <f>GradeStatus(Z69)&amp;"--"&amp;Z69&amp;" Credits "&amp;F84&amp;" In Progress"</f>
        <v>Senior--161 Credits 150 In Progress</v>
      </c>
      <c r="G73" s="165"/>
      <c r="H73" s="165"/>
      <c r="I73" s="165"/>
      <c r="J73" s="165"/>
      <c r="L73" s="171" t="s">
        <v>94</v>
      </c>
      <c r="M73" s="175" t="s">
        <v>594</v>
      </c>
      <c r="N73" s="176"/>
      <c r="O73" s="177"/>
      <c r="P73" s="166" t="str">
        <f>GradeStatus(F84)&amp;"--"&amp;F84&amp;" Credits "&amp;P84&amp;" In Progress"</f>
        <v>Senior--150 Credits 150 In Progress</v>
      </c>
      <c r="Q73" s="167"/>
      <c r="R73" s="167"/>
      <c r="S73" s="167"/>
      <c r="T73" s="167"/>
      <c r="V73" s="171" t="s">
        <v>95</v>
      </c>
      <c r="W73" s="168" t="s">
        <v>595</v>
      </c>
      <c r="X73" s="169"/>
      <c r="Y73" s="170"/>
      <c r="Z73" s="162" t="str">
        <f>GradeStatus(P84)&amp;"--"&amp;P84&amp;" Credits "&amp;Z84&amp;" In Progress"</f>
        <v>Senior--150 Credits 150 In Progress</v>
      </c>
      <c r="AA73" s="163"/>
      <c r="AB73" s="163"/>
      <c r="AC73" s="163"/>
      <c r="AD73" s="163"/>
      <c r="AF73" s="171" t="s">
        <v>96</v>
      </c>
      <c r="AG73" s="172" t="s">
        <v>596</v>
      </c>
      <c r="AH73" s="173"/>
      <c r="AI73" s="174"/>
      <c r="AJ73" s="160" t="str">
        <f>GradeStatus(Z83)&amp;"--"&amp;Z83&amp;" Credits "&amp;AJ83&amp;" In Progress"</f>
        <v>Senior--161 Credits 161 In Progress</v>
      </c>
      <c r="AK73" s="161"/>
      <c r="AL73" s="161"/>
      <c r="AM73" s="161"/>
      <c r="AN73" s="161"/>
    </row>
    <row r="74" spans="1:40" ht="15.75" outlineLevel="1" thickBot="1">
      <c r="B74" s="171"/>
      <c r="C74" s="3" t="s">
        <v>20</v>
      </c>
      <c r="D74" s="3" t="s">
        <v>24</v>
      </c>
      <c r="E74" s="3" t="s">
        <v>25</v>
      </c>
      <c r="F74" s="3" t="s">
        <v>10</v>
      </c>
      <c r="G74" s="3" t="s">
        <v>26</v>
      </c>
      <c r="H74" s="3" t="s">
        <v>12</v>
      </c>
      <c r="I74" s="3" t="s">
        <v>36</v>
      </c>
      <c r="J74" s="3" t="s">
        <v>28</v>
      </c>
      <c r="L74" s="171"/>
      <c r="M74" s="3" t="s">
        <v>20</v>
      </c>
      <c r="N74" s="3" t="s">
        <v>24</v>
      </c>
      <c r="O74" s="3" t="s">
        <v>25</v>
      </c>
      <c r="P74" s="3" t="s">
        <v>10</v>
      </c>
      <c r="Q74" s="3" t="s">
        <v>26</v>
      </c>
      <c r="R74" s="3" t="s">
        <v>12</v>
      </c>
      <c r="S74" s="3" t="s">
        <v>36</v>
      </c>
      <c r="T74" s="3" t="s">
        <v>28</v>
      </c>
      <c r="V74" s="171"/>
      <c r="W74" s="3" t="s">
        <v>20</v>
      </c>
      <c r="X74" s="3" t="s">
        <v>24</v>
      </c>
      <c r="Y74" s="3" t="s">
        <v>25</v>
      </c>
      <c r="Z74" s="3" t="s">
        <v>10</v>
      </c>
      <c r="AA74" s="3" t="s">
        <v>26</v>
      </c>
      <c r="AB74" s="3" t="s">
        <v>12</v>
      </c>
      <c r="AC74" s="3" t="s">
        <v>36</v>
      </c>
      <c r="AD74" s="3" t="s">
        <v>28</v>
      </c>
      <c r="AF74" s="171"/>
      <c r="AG74" s="3" t="s">
        <v>20</v>
      </c>
      <c r="AH74" s="3" t="s">
        <v>24</v>
      </c>
      <c r="AI74" s="3" t="s">
        <v>25</v>
      </c>
      <c r="AJ74" s="3" t="s">
        <v>10</v>
      </c>
      <c r="AK74" s="3" t="s">
        <v>26</v>
      </c>
      <c r="AL74" s="3" t="s">
        <v>12</v>
      </c>
      <c r="AM74" s="3" t="s">
        <v>36</v>
      </c>
      <c r="AN74" s="3" t="s">
        <v>28</v>
      </c>
    </row>
    <row r="75" spans="1:40" ht="15.75" outlineLevel="1" thickBot="1">
      <c r="B75" s="171"/>
      <c r="C75" s="101"/>
      <c r="D75" s="3" t="str">
        <f>IF(Table32221484[[#This Row],[Course]]= "","",IFERROR(VLOOKUP(Table32221484[[#This Row],[Course]],COURSELIST[],2,FALSE),"Course Not Found!"))</f>
        <v/>
      </c>
      <c r="E75" s="3" t="str">
        <f>IF(Table32221484[[#This Row],[Course]]= "","",IFERROR(VLOOKUP(Table32221484[[#This Row],[Course]],COURSELIST[],3,FALSE),""))</f>
        <v/>
      </c>
      <c r="F75" s="3" t="str">
        <f>IF(Table32221484[[#This Row],[Course]]= "","",IFERROR(VLOOKUP(Table32221484[[#This Row],[Course]],COURSELIST[],4,FALSE),""))</f>
        <v/>
      </c>
      <c r="H75" s="3" t="str">
        <f>IF(Table32221484[[#This Row],[Course]]= "","",IFERROR(VLOOKUP(Table32221484[[#This Row],[Course]],COURSELIST[],6,FALSE),""))</f>
        <v/>
      </c>
      <c r="I75" s="3" t="str">
        <f>IF(Table32221484[[#This Row],[Course]]= "","",IFERROR(VLOOKUP(Table32221484[[#This Row],[Course]],COURSELIST[],7,FALSE),""))</f>
        <v/>
      </c>
      <c r="J75" s="3" t="str">
        <f>IF(Table32221484[[#This Row],[Course]]= "","",IFERROR(VLOOKUP(Table32221484[[#This Row],[Course]],COURSELIST[],8,FALSE),""))</f>
        <v/>
      </c>
      <c r="L75" s="171"/>
      <c r="M75" s="28"/>
      <c r="N75" s="3" t="str">
        <f>IF(Table143344506[[#This Row],[Course]]= "","",IFERROR(VLOOKUP(Table143344506[[#This Row],[Course]],COURSELIST[],2,FALSE),"Course Not Found!"))</f>
        <v/>
      </c>
      <c r="O75" s="3" t="str">
        <f>IF(Table143344506[[#This Row],[Course]]= "","",IFERROR(VLOOKUP(Table143344506[[#This Row],[Course]],COURSELIST[],3,FALSE),""))</f>
        <v/>
      </c>
      <c r="P75" s="3" t="str">
        <f>IF(Table143344506[[#This Row],[Course]]= "","",IFERROR(VLOOKUP(Table143344506[[#This Row],[Course]],COURSELIST[],4,FALSE),""))</f>
        <v/>
      </c>
      <c r="R75" s="3" t="str">
        <f>IF(Table143344506[[#This Row],[Course]]= "","",IFERROR(VLOOKUP(Table143344506[[#This Row],[Course]],COURSELIST[],6,FALSE),""))</f>
        <v/>
      </c>
      <c r="S75" s="3" t="str">
        <f>IF(Table143344506[[#This Row],[Course]]= "","",IFERROR(VLOOKUP(Table143344506[[#This Row],[Course]],COURSELIST[],7,FALSE),""))</f>
        <v/>
      </c>
      <c r="T75" s="3" t="str">
        <f>IF(Table143344506[[#This Row],[Course]]= "","",IFERROR(VLOOKUP(Table143344506[[#This Row],[Course]],COURSELIST[],8,FALSE),""))</f>
        <v/>
      </c>
      <c r="V75" s="171"/>
      <c r="W75" s="26"/>
      <c r="X75" s="3" t="str">
        <f>IF(Table92839495[[#This Row],[Course]]= "","",IFERROR(VLOOKUP(Table92839495[[#This Row],[Course]],COURSELIST[],2,FALSE),"Course Not Found!"))</f>
        <v/>
      </c>
      <c r="Y75" s="3" t="str">
        <f>IF(Table92839495[[#This Row],[Course]]= "","",IFERROR(VLOOKUP(Table92839495[[#This Row],[Course]],COURSELIST[],3,FALSE),""))</f>
        <v/>
      </c>
      <c r="Z75" s="3" t="str">
        <f>IF(Table92839495[[#This Row],[Course]]= "","",IFERROR(VLOOKUP(Table92839495[[#This Row],[Course]],COURSELIST[],4,FALSE),""))</f>
        <v/>
      </c>
      <c r="AB75" s="3" t="str">
        <f>IF(Table92839495[[#This Row],[Course]]= "","",IFERROR(VLOOKUP(Table92839495[[#This Row],[Course]],COURSELIST[],6,FALSE),""))</f>
        <v/>
      </c>
      <c r="AC75" s="3" t="str">
        <f>IF(Table92839495[[#This Row],[Course]]= "","",IFERROR(VLOOKUP(Table92839495[[#This Row],[Course]],COURSELIST[],7,FALSE),""))</f>
        <v/>
      </c>
      <c r="AD75" s="3" t="str">
        <f>IF(Table92839495[[#This Row],[Course]]= "","",IFERROR(VLOOKUP(Table92839495[[#This Row],[Course]],COURSELIST[],8,FALSE),""))</f>
        <v/>
      </c>
      <c r="AF75" s="171"/>
      <c r="AG75" s="26"/>
      <c r="AH75" s="3" t="str">
        <f>IF(Table928394952557[[#This Row],[Course]]= "","",IFERROR(VLOOKUP(Table928394952557[[#This Row],[Course]],COURSELIST[],2,FALSE),"Course Not Found!"))</f>
        <v/>
      </c>
      <c r="AI75" s="3" t="str">
        <f>IF(Table928394952557[[#This Row],[Course]]= "","",IFERROR(VLOOKUP(Table928394952557[[#This Row],[Course]],COURSELIST[],3,FALSE),""))</f>
        <v/>
      </c>
      <c r="AJ75" s="3" t="str">
        <f>IF(Table928394952557[[#This Row],[Course]]= "","",IFERROR(VLOOKUP(Table928394952557[[#This Row],[Course]],COURSELIST[],4,FALSE),""))</f>
        <v/>
      </c>
      <c r="AL75" s="3" t="str">
        <f>IF(Table928394952557[[#This Row],[Course]]= "","",IFERROR(VLOOKUP(Table928394952557[[#This Row],[Course]],COURSELIST[],6,FALSE),""))</f>
        <v/>
      </c>
      <c r="AM75" s="3" t="str">
        <f>IF(Table928394952557[[#This Row],[Course]]= "","",IFERROR(VLOOKUP(Table928394952557[[#This Row],[Course]],COURSELIST[],7,FALSE),""))</f>
        <v/>
      </c>
      <c r="AN75" s="3" t="str">
        <f>IF(Table928394952557[[#This Row],[Course]]= "","",IFERROR(VLOOKUP(Table928394952557[[#This Row],[Course]],COURSELIST[],8,FALSE),""))</f>
        <v/>
      </c>
    </row>
    <row r="76" spans="1:40" ht="15.75" outlineLevel="1" thickBot="1">
      <c r="B76" s="171"/>
      <c r="C76" s="100"/>
      <c r="D76" s="3" t="str">
        <f>IF(Table32221484[[#This Row],[Course]]= "","",IFERROR(VLOOKUP(Table32221484[[#This Row],[Course]],COURSELIST[],2,FALSE),"Course Not Found!"))</f>
        <v/>
      </c>
      <c r="E76" s="3" t="str">
        <f>IF(Table32221484[[#This Row],[Course]]= "","",IFERROR(VLOOKUP(Table32221484[[#This Row],[Course]],COURSELIST[],3,FALSE),""))</f>
        <v/>
      </c>
      <c r="F76" s="3" t="str">
        <f>IF(Table32221484[[#This Row],[Course]]= "","",IFERROR(VLOOKUP(Table32221484[[#This Row],[Course]],COURSELIST[],4,FALSE),""))</f>
        <v/>
      </c>
      <c r="H76" s="3" t="str">
        <f>IF(Table32221484[[#This Row],[Course]]= "","",IFERROR(VLOOKUP(Table32221484[[#This Row],[Course]],COURSELIST[],6,FALSE),""))</f>
        <v/>
      </c>
      <c r="I76" s="3" t="str">
        <f>IF(Table32221484[[#This Row],[Course]]= "","",IFERROR(VLOOKUP(Table32221484[[#This Row],[Course]],COURSELIST[],7,FALSE),""))</f>
        <v/>
      </c>
      <c r="J76" s="3" t="str">
        <f>IF(Table32221484[[#This Row],[Course]]= "","",IFERROR(VLOOKUP(Table32221484[[#This Row],[Course]],COURSELIST[],8,FALSE),""))</f>
        <v/>
      </c>
      <c r="K76" s="5"/>
      <c r="L76" s="171"/>
      <c r="M76" s="26"/>
      <c r="N76" s="3" t="str">
        <f>IF(Table143344506[[#This Row],[Course]]= "","",IFERROR(VLOOKUP(Table143344506[[#This Row],[Course]],COURSELIST[],2,FALSE),"Course Not Found!"))</f>
        <v/>
      </c>
      <c r="O76" s="3" t="str">
        <f>IF(Table143344506[[#This Row],[Course]]= "","",IFERROR(VLOOKUP(Table143344506[[#This Row],[Course]],COURSELIST[],3,FALSE),""))</f>
        <v/>
      </c>
      <c r="P76" s="3" t="str">
        <f>IF(Table143344506[[#This Row],[Course]]= "","",IFERROR(VLOOKUP(Table143344506[[#This Row],[Course]],COURSELIST[],4,FALSE),""))</f>
        <v/>
      </c>
      <c r="R76" s="3" t="str">
        <f>IF(Table143344506[[#This Row],[Course]]= "","",IFERROR(VLOOKUP(Table143344506[[#This Row],[Course]],COURSELIST[],6,FALSE),""))</f>
        <v/>
      </c>
      <c r="S76" s="3" t="str">
        <f>IF(Table143344506[[#This Row],[Course]]= "","",IFERROR(VLOOKUP(Table143344506[[#This Row],[Course]],COURSELIST[],7,FALSE),""))</f>
        <v/>
      </c>
      <c r="T76" s="3" t="str">
        <f>IF(Table143344506[[#This Row],[Course]]= "","",IFERROR(VLOOKUP(Table143344506[[#This Row],[Course]],COURSELIST[],8,FALSE),""))</f>
        <v/>
      </c>
      <c r="U76" s="5"/>
      <c r="V76" s="171"/>
      <c r="W76" s="26"/>
      <c r="X76" s="3" t="str">
        <f>IF(Table92839495[[#This Row],[Course]]= "","",IFERROR(VLOOKUP(Table92839495[[#This Row],[Course]],COURSELIST[],2,FALSE),"Course Not Found!"))</f>
        <v/>
      </c>
      <c r="Y76" s="3" t="str">
        <f>IF(Table92839495[[#This Row],[Course]]= "","",IFERROR(VLOOKUP(Table92839495[[#This Row],[Course]],COURSELIST[],3,FALSE),""))</f>
        <v/>
      </c>
      <c r="Z76" s="3" t="str">
        <f>IF(Table92839495[[#This Row],[Course]]= "","",IFERROR(VLOOKUP(Table92839495[[#This Row],[Course]],COURSELIST[],4,FALSE),""))</f>
        <v/>
      </c>
      <c r="AB76" s="3" t="str">
        <f>IF(Table92839495[[#This Row],[Course]]= "","",IFERROR(VLOOKUP(Table92839495[[#This Row],[Course]],COURSELIST[],6,FALSE),""))</f>
        <v/>
      </c>
      <c r="AC76" s="3" t="str">
        <f>IF(Table92839495[[#This Row],[Course]]= "","",IFERROR(VLOOKUP(Table92839495[[#This Row],[Course]],COURSELIST[],7,FALSE),""))</f>
        <v/>
      </c>
      <c r="AD76" s="3" t="str">
        <f>IF(Table92839495[[#This Row],[Course]]= "","",IFERROR(VLOOKUP(Table92839495[[#This Row],[Course]],COURSELIST[],8,FALSE),""))</f>
        <v/>
      </c>
      <c r="AF76" s="171"/>
      <c r="AG76" s="26"/>
      <c r="AH76" s="3" t="str">
        <f>IF(Table928394952557[[#This Row],[Course]]= "","",IFERROR(VLOOKUP(Table928394952557[[#This Row],[Course]],COURSELIST[],2,FALSE),"Course Not Found!"))</f>
        <v/>
      </c>
      <c r="AI76" s="3" t="str">
        <f>IF(Table928394952557[[#This Row],[Course]]= "","",IFERROR(VLOOKUP(Table928394952557[[#This Row],[Course]],COURSELIST[],3,FALSE),""))</f>
        <v/>
      </c>
      <c r="AJ76" s="3" t="str">
        <f>IF(Table928394952557[[#This Row],[Course]]= "","",IFERROR(VLOOKUP(Table928394952557[[#This Row],[Course]],COURSELIST[],4,FALSE),""))</f>
        <v/>
      </c>
      <c r="AL76" s="3" t="str">
        <f>IF(Table928394952557[[#This Row],[Course]]= "","",IFERROR(VLOOKUP(Table928394952557[[#This Row],[Course]],COURSELIST[],6,FALSE),""))</f>
        <v/>
      </c>
      <c r="AM76" s="3" t="str">
        <f>IF(Table928394952557[[#This Row],[Course]]= "","",IFERROR(VLOOKUP(Table928394952557[[#This Row],[Course]],COURSELIST[],7,FALSE),""))</f>
        <v/>
      </c>
      <c r="AN76" s="3" t="str">
        <f>IF(Table928394952557[[#This Row],[Course]]= "","",IFERROR(VLOOKUP(Table928394952557[[#This Row],[Course]],COURSELIST[],8,FALSE),""))</f>
        <v/>
      </c>
    </row>
    <row r="77" spans="1:40" ht="15.75" outlineLevel="1" thickBot="1">
      <c r="B77" s="171"/>
      <c r="C77" s="100"/>
      <c r="D77" s="3" t="str">
        <f>IF(Table32221484[[#This Row],[Course]]= "","",IFERROR(VLOOKUP(Table32221484[[#This Row],[Course]],COURSELIST[],2,FALSE),"Course Not Found!"))</f>
        <v/>
      </c>
      <c r="E77" s="3" t="str">
        <f>IF(Table32221484[[#This Row],[Course]]= "","",IFERROR(VLOOKUP(Table32221484[[#This Row],[Course]],COURSELIST[],3,FALSE),""))</f>
        <v/>
      </c>
      <c r="F77" s="3" t="str">
        <f>IF(Table32221484[[#This Row],[Course]]= "","",IFERROR(VLOOKUP(Table32221484[[#This Row],[Course]],COURSELIST[],4,FALSE),""))</f>
        <v/>
      </c>
      <c r="H77" s="3" t="str">
        <f>IF(Table32221484[[#This Row],[Course]]= "","",IFERROR(VLOOKUP(Table32221484[[#This Row],[Course]],COURSELIST[],6,FALSE),""))</f>
        <v/>
      </c>
      <c r="I77" s="3" t="str">
        <f>IF(Table32221484[[#This Row],[Course]]= "","",IFERROR(VLOOKUP(Table32221484[[#This Row],[Course]],COURSELIST[],7,FALSE),""))</f>
        <v/>
      </c>
      <c r="J77" s="3" t="str">
        <f>IF(Table32221484[[#This Row],[Course]]= "","",IFERROR(VLOOKUP(Table32221484[[#This Row],[Course]],COURSELIST[],8,FALSE),""))</f>
        <v/>
      </c>
      <c r="L77" s="171"/>
      <c r="M77" s="26"/>
      <c r="N77" s="3" t="str">
        <f>IF(Table143344506[[#This Row],[Course]]= "","",IFERROR(VLOOKUP(Table143344506[[#This Row],[Course]],COURSELIST[],2,FALSE),"Course Not Found!"))</f>
        <v/>
      </c>
      <c r="O77" s="3" t="str">
        <f>IF(Table143344506[[#This Row],[Course]]= "","",IFERROR(VLOOKUP(Table143344506[[#This Row],[Course]],COURSELIST[],3,FALSE),""))</f>
        <v/>
      </c>
      <c r="P77" s="3" t="str">
        <f>IF(Table143344506[[#This Row],[Course]]= "","",IFERROR(VLOOKUP(Table143344506[[#This Row],[Course]],COURSELIST[],4,FALSE),""))</f>
        <v/>
      </c>
      <c r="R77" s="3" t="str">
        <f>IF(Table143344506[[#This Row],[Course]]= "","",IFERROR(VLOOKUP(Table143344506[[#This Row],[Course]],COURSELIST[],6,FALSE),""))</f>
        <v/>
      </c>
      <c r="S77" s="3" t="str">
        <f>IF(Table143344506[[#This Row],[Course]]= "","",IFERROR(VLOOKUP(Table143344506[[#This Row],[Course]],COURSELIST[],7,FALSE),""))</f>
        <v/>
      </c>
      <c r="T77" s="3" t="str">
        <f>IF(Table143344506[[#This Row],[Course]]= "","",IFERROR(VLOOKUP(Table143344506[[#This Row],[Course]],COURSELIST[],8,FALSE),""))</f>
        <v/>
      </c>
      <c r="V77" s="171"/>
      <c r="W77" s="17"/>
      <c r="X77" s="3" t="str">
        <f>IF(Table92839495[[#This Row],[Course]]= "","",IFERROR(VLOOKUP(Table92839495[[#This Row],[Course]],COURSELIST[],2,FALSE),"Course Not Found!"))</f>
        <v/>
      </c>
      <c r="Y77" s="3" t="str">
        <f>IF(Table92839495[[#This Row],[Course]]= "","",IFERROR(VLOOKUP(Table92839495[[#This Row],[Course]],COURSELIST[],3,FALSE),""))</f>
        <v/>
      </c>
      <c r="Z77" s="3" t="str">
        <f>IF(Table92839495[[#This Row],[Course]]= "","",IFERROR(VLOOKUP(Table92839495[[#This Row],[Course]],COURSELIST[],4,FALSE),""))</f>
        <v/>
      </c>
      <c r="AB77" s="3" t="str">
        <f>IF(Table92839495[[#This Row],[Course]]= "","",IFERROR(VLOOKUP(Table92839495[[#This Row],[Course]],COURSELIST[],6,FALSE),""))</f>
        <v/>
      </c>
      <c r="AC77" s="3" t="str">
        <f>IF(Table92839495[[#This Row],[Course]]= "","",IFERROR(VLOOKUP(Table92839495[[#This Row],[Course]],COURSELIST[],7,FALSE),""))</f>
        <v/>
      </c>
      <c r="AD77" s="3" t="str">
        <f>IF(Table92839495[[#This Row],[Course]]= "","",IFERROR(VLOOKUP(Table92839495[[#This Row],[Course]],COURSELIST[],8,FALSE),""))</f>
        <v/>
      </c>
      <c r="AF77" s="171"/>
      <c r="AG77" s="17"/>
      <c r="AH77" s="3" t="str">
        <f>IF(Table928394952557[[#This Row],[Course]]= "","",IFERROR(VLOOKUP(Table928394952557[[#This Row],[Course]],COURSELIST[],2,FALSE),"Course Not Found!"))</f>
        <v/>
      </c>
      <c r="AI77" s="3" t="str">
        <f>IF(Table928394952557[[#This Row],[Course]]= "","",IFERROR(VLOOKUP(Table928394952557[[#This Row],[Course]],COURSELIST[],3,FALSE),""))</f>
        <v/>
      </c>
      <c r="AJ77" s="3" t="str">
        <f>IF(Table928394952557[[#This Row],[Course]]= "","",IFERROR(VLOOKUP(Table928394952557[[#This Row],[Course]],COURSELIST[],4,FALSE),""))</f>
        <v/>
      </c>
      <c r="AL77" s="3" t="str">
        <f>IF(Table928394952557[[#This Row],[Course]]= "","",IFERROR(VLOOKUP(Table928394952557[[#This Row],[Course]],COURSELIST[],6,FALSE),""))</f>
        <v/>
      </c>
      <c r="AM77" s="3" t="str">
        <f>IF(Table928394952557[[#This Row],[Course]]= "","",IFERROR(VLOOKUP(Table928394952557[[#This Row],[Course]],COURSELIST[],7,FALSE),""))</f>
        <v/>
      </c>
      <c r="AN77" s="3" t="str">
        <f>IF(Table928394952557[[#This Row],[Course]]= "","",IFERROR(VLOOKUP(Table928394952557[[#This Row],[Course]],COURSELIST[],8,FALSE),""))</f>
        <v/>
      </c>
    </row>
    <row r="78" spans="1:40" ht="15.75" outlineLevel="1" thickBot="1">
      <c r="B78" s="171"/>
      <c r="C78" s="100"/>
      <c r="D78" s="3" t="str">
        <f>IF(Table32221484[[#This Row],[Course]]= "","",IFERROR(VLOOKUP(Table32221484[[#This Row],[Course]],COURSELIST[],2,FALSE),"Course Not Found!"))</f>
        <v/>
      </c>
      <c r="E78" s="3" t="str">
        <f>IF(Table32221484[[#This Row],[Course]]= "","",IFERROR(VLOOKUP(Table32221484[[#This Row],[Course]],COURSELIST[],3,FALSE),""))</f>
        <v/>
      </c>
      <c r="F78" s="3" t="str">
        <f>IF(Table32221484[[#This Row],[Course]]= "","",IFERROR(VLOOKUP(Table32221484[[#This Row],[Course]],COURSELIST[],4,FALSE),""))</f>
        <v/>
      </c>
      <c r="H78" s="3" t="str">
        <f>IF(Table32221484[[#This Row],[Course]]= "","",IFERROR(VLOOKUP(Table32221484[[#This Row],[Course]],COURSELIST[],6,FALSE),""))</f>
        <v/>
      </c>
      <c r="I78" s="3" t="str">
        <f>IF(Table32221484[[#This Row],[Course]]= "","",IFERROR(VLOOKUP(Table32221484[[#This Row],[Course]],COURSELIST[],7,FALSE),""))</f>
        <v/>
      </c>
      <c r="J78" s="3" t="str">
        <f>IF(Table32221484[[#This Row],[Course]]= "","",IFERROR(VLOOKUP(Table32221484[[#This Row],[Course]],COURSELIST[],8,FALSE),""))</f>
        <v/>
      </c>
      <c r="L78" s="171"/>
      <c r="M78" s="26"/>
      <c r="N78" s="3" t="str">
        <f>IF(Table143344506[[#This Row],[Course]]= "","",IFERROR(VLOOKUP(Table143344506[[#This Row],[Course]],COURSELIST[],2,FALSE),"Course Not Found!"))</f>
        <v/>
      </c>
      <c r="O78" s="3" t="str">
        <f>IF(Table143344506[[#This Row],[Course]]= "","",IFERROR(VLOOKUP(Table143344506[[#This Row],[Course]],COURSELIST[],3,FALSE),""))</f>
        <v/>
      </c>
      <c r="P78" s="3" t="str">
        <f>IF(Table143344506[[#This Row],[Course]]= "","",IFERROR(VLOOKUP(Table143344506[[#This Row],[Course]],COURSELIST[],4,FALSE),""))</f>
        <v/>
      </c>
      <c r="R78" s="3" t="str">
        <f>IF(Table143344506[[#This Row],[Course]]= "","",IFERROR(VLOOKUP(Table143344506[[#This Row],[Course]],COURSELIST[],6,FALSE),""))</f>
        <v/>
      </c>
      <c r="S78" s="3" t="str">
        <f>IF(Table143344506[[#This Row],[Course]]= "","",IFERROR(VLOOKUP(Table143344506[[#This Row],[Course]],COURSELIST[],7,FALSE),""))</f>
        <v/>
      </c>
      <c r="T78" s="3" t="str">
        <f>IF(Table143344506[[#This Row],[Course]]= "","",IFERROR(VLOOKUP(Table143344506[[#This Row],[Course]],COURSELIST[],8,FALSE),""))</f>
        <v/>
      </c>
      <c r="V78" s="171"/>
      <c r="W78" s="17"/>
      <c r="X78" s="3" t="str">
        <f>IF(Table92839495[[#This Row],[Course]]= "","",IFERROR(VLOOKUP(Table92839495[[#This Row],[Course]],COURSELIST[],2,FALSE),"Course Not Found!"))</f>
        <v/>
      </c>
      <c r="Y78" s="3" t="str">
        <f>IF(Table92839495[[#This Row],[Course]]= "","",IFERROR(VLOOKUP(Table92839495[[#This Row],[Course]],COURSELIST[],3,FALSE),""))</f>
        <v/>
      </c>
      <c r="Z78" s="3" t="str">
        <f>IF(Table92839495[[#This Row],[Course]]= "","",IFERROR(VLOOKUP(Table92839495[[#This Row],[Course]],COURSELIST[],4,FALSE),""))</f>
        <v/>
      </c>
      <c r="AB78" s="3" t="str">
        <f>IF(Table92839495[[#This Row],[Course]]= "","",IFERROR(VLOOKUP(Table92839495[[#This Row],[Course]],COURSELIST[],6,FALSE),""))</f>
        <v/>
      </c>
      <c r="AC78" s="3" t="str">
        <f>IF(Table92839495[[#This Row],[Course]]= "","",IFERROR(VLOOKUP(Table92839495[[#This Row],[Course]],COURSELIST[],7,FALSE),""))</f>
        <v/>
      </c>
      <c r="AD78" s="3" t="str">
        <f>IF(Table92839495[[#This Row],[Course]]= "","",IFERROR(VLOOKUP(Table92839495[[#This Row],[Course]],COURSELIST[],8,FALSE),""))</f>
        <v/>
      </c>
      <c r="AF78" s="171"/>
      <c r="AG78" s="17"/>
      <c r="AH78" s="3" t="str">
        <f>IF(Table928394952557[[#This Row],[Course]]= "","",IFERROR(VLOOKUP(Table928394952557[[#This Row],[Course]],COURSELIST[],2,FALSE),"Course Not Found!"))</f>
        <v/>
      </c>
      <c r="AI78" s="3" t="str">
        <f>IF(Table928394952557[[#This Row],[Course]]= "","",IFERROR(VLOOKUP(Table928394952557[[#This Row],[Course]],COURSELIST[],3,FALSE),""))</f>
        <v/>
      </c>
      <c r="AJ78" s="3" t="str">
        <f>IF(Table928394952557[[#This Row],[Course]]= "","",IFERROR(VLOOKUP(Table928394952557[[#This Row],[Course]],COURSELIST[],4,FALSE),""))</f>
        <v/>
      </c>
      <c r="AL78" s="3" t="str">
        <f>IF(Table928394952557[[#This Row],[Course]]= "","",IFERROR(VLOOKUP(Table928394952557[[#This Row],[Course]],COURSELIST[],6,FALSE),""))</f>
        <v/>
      </c>
      <c r="AM78" s="3" t="str">
        <f>IF(Table928394952557[[#This Row],[Course]]= "","",IFERROR(VLOOKUP(Table928394952557[[#This Row],[Course]],COURSELIST[],7,FALSE),""))</f>
        <v/>
      </c>
      <c r="AN78" s="3" t="str">
        <f>IF(Table928394952557[[#This Row],[Course]]= "","",IFERROR(VLOOKUP(Table928394952557[[#This Row],[Course]],COURSELIST[],8,FALSE),""))</f>
        <v/>
      </c>
    </row>
    <row r="79" spans="1:40" ht="15.75" outlineLevel="1" thickBot="1">
      <c r="B79" s="171"/>
      <c r="C79" s="100"/>
      <c r="D79" s="3" t="str">
        <f>IF(Table32221484[[#This Row],[Course]]= "","",IFERROR(VLOOKUP(Table32221484[[#This Row],[Course]],COURSELIST[],2,FALSE),"Course Not Found!"))</f>
        <v/>
      </c>
      <c r="E79" s="3" t="str">
        <f>IF(Table32221484[[#This Row],[Course]]= "","",IFERROR(VLOOKUP(Table32221484[[#This Row],[Course]],COURSELIST[],3,FALSE),""))</f>
        <v/>
      </c>
      <c r="F79" s="3" t="str">
        <f>IF(Table32221484[[#This Row],[Course]]= "","",IFERROR(VLOOKUP(Table32221484[[#This Row],[Course]],COURSELIST[],4,FALSE),""))</f>
        <v/>
      </c>
      <c r="H79" s="3" t="str">
        <f>IF(Table32221484[[#This Row],[Course]]= "","",IFERROR(VLOOKUP(Table32221484[[#This Row],[Course]],COURSELIST[],6,FALSE),""))</f>
        <v/>
      </c>
      <c r="I79" s="3" t="str">
        <f>IF(Table32221484[[#This Row],[Course]]= "","",IFERROR(VLOOKUP(Table32221484[[#This Row],[Course]],COURSELIST[],7,FALSE),""))</f>
        <v/>
      </c>
      <c r="J79" s="3" t="str">
        <f>IF(Table32221484[[#This Row],[Course]]= "","",IFERROR(VLOOKUP(Table32221484[[#This Row],[Course]],COURSELIST[],8,FALSE),""))</f>
        <v/>
      </c>
      <c r="L79" s="171"/>
      <c r="M79" s="18"/>
      <c r="N79" s="3" t="str">
        <f>IF(Table143344506[[#This Row],[Course]]= "","",IFERROR(VLOOKUP(Table143344506[[#This Row],[Course]],COURSELIST[],2,FALSE),"Course Not Found!"))</f>
        <v/>
      </c>
      <c r="O79" s="3" t="str">
        <f>IF(Table143344506[[#This Row],[Course]]= "","",IFERROR(VLOOKUP(Table143344506[[#This Row],[Course]],COURSELIST[],3,FALSE),""))</f>
        <v/>
      </c>
      <c r="P79" s="3" t="str">
        <f>IF(Table143344506[[#This Row],[Course]]= "","",IFERROR(VLOOKUP(Table143344506[[#This Row],[Course]],COURSELIST[],4,FALSE),""))</f>
        <v/>
      </c>
      <c r="R79" s="3" t="str">
        <f>IF(Table143344506[[#This Row],[Course]]= "","",IFERROR(VLOOKUP(Table143344506[[#This Row],[Course]],COURSELIST[],6,FALSE),""))</f>
        <v/>
      </c>
      <c r="S79" s="3" t="str">
        <f>IF(Table143344506[[#This Row],[Course]]= "","",IFERROR(VLOOKUP(Table143344506[[#This Row],[Course]],COURSELIST[],7,FALSE),""))</f>
        <v/>
      </c>
      <c r="T79" s="5" t="str">
        <f>IF(Table143344506[[#This Row],[Course]]= "","",IFERROR(VLOOKUP(Table143344506[[#This Row],[Course]],COURSELIST[],8,FALSE),""))</f>
        <v/>
      </c>
      <c r="V79" s="171"/>
      <c r="W79" s="26"/>
      <c r="X79" s="3" t="str">
        <f>IF(Table92839495[[#This Row],[Course]]= "","",IFERROR(VLOOKUP(Table92839495[[#This Row],[Course]],COURSELIST[],2,FALSE),"Course Not Found!"))</f>
        <v/>
      </c>
      <c r="Y79" s="3" t="str">
        <f>IF(Table92839495[[#This Row],[Course]]= "","",IFERROR(VLOOKUP(Table92839495[[#This Row],[Course]],COURSELIST[],3,FALSE),""))</f>
        <v/>
      </c>
      <c r="Z79" s="3" t="str">
        <f>IF(Table92839495[[#This Row],[Course]]= "","",IFERROR(VLOOKUP(Table92839495[[#This Row],[Course]],COURSELIST[],4,FALSE),""))</f>
        <v/>
      </c>
      <c r="AB79" s="3" t="str">
        <f>IF(Table92839495[[#This Row],[Course]]= "","",IFERROR(VLOOKUP(Table92839495[[#This Row],[Course]],COURSELIST[],6,FALSE),""))</f>
        <v/>
      </c>
      <c r="AC79" s="3" t="str">
        <f>IF(Table92839495[[#This Row],[Course]]= "","",IFERROR(VLOOKUP(Table92839495[[#This Row],[Course]],COURSELIST[],7,FALSE),""))</f>
        <v/>
      </c>
      <c r="AD79" s="3" t="str">
        <f>IF(Table92839495[[#This Row],[Course]]= "","",IFERROR(VLOOKUP(Table92839495[[#This Row],[Course]],COURSELIST[],8,FALSE),""))</f>
        <v/>
      </c>
      <c r="AF79" s="171"/>
      <c r="AG79" s="26"/>
      <c r="AH79" s="3" t="str">
        <f>IF(Table928394952557[[#This Row],[Course]]= "","",IFERROR(VLOOKUP(Table928394952557[[#This Row],[Course]],COURSELIST[],2,FALSE),"Course Not Found!"))</f>
        <v/>
      </c>
      <c r="AI79" s="3" t="str">
        <f>IF(Table928394952557[[#This Row],[Course]]= "","",IFERROR(VLOOKUP(Table928394952557[[#This Row],[Course]],COURSELIST[],3,FALSE),""))</f>
        <v/>
      </c>
      <c r="AJ79" s="3" t="str">
        <f>IF(Table928394952557[[#This Row],[Course]]= "","",IFERROR(VLOOKUP(Table928394952557[[#This Row],[Course]],COURSELIST[],4,FALSE),""))</f>
        <v/>
      </c>
      <c r="AL79" s="3" t="str">
        <f>IF(Table928394952557[[#This Row],[Course]]= "","",IFERROR(VLOOKUP(Table928394952557[[#This Row],[Course]],COURSELIST[],6,FALSE),""))</f>
        <v/>
      </c>
      <c r="AM79" s="3" t="str">
        <f>IF(Table928394952557[[#This Row],[Course]]= "","",IFERROR(VLOOKUP(Table928394952557[[#This Row],[Course]],COURSELIST[],7,FALSE),""))</f>
        <v/>
      </c>
      <c r="AN79" s="3" t="str">
        <f>IF(Table928394952557[[#This Row],[Course]]= "","",IFERROR(VLOOKUP(Table928394952557[[#This Row],[Course]],COURSELIST[],8,FALSE),""))</f>
        <v/>
      </c>
    </row>
    <row r="80" spans="1:40" ht="15.75" outlineLevel="1" thickBot="1">
      <c r="B80" s="171"/>
      <c r="C80" s="26"/>
      <c r="D80" s="3" t="str">
        <f>IF(Table32221484[[#This Row],[Course]]= "","",IFERROR(VLOOKUP(Table32221484[[#This Row],[Course]],COURSELIST[],2,FALSE),"Course Not Found!"))</f>
        <v/>
      </c>
      <c r="E80" s="3" t="str">
        <f>IF(Table32221484[[#This Row],[Course]]= "","",IFERROR(VLOOKUP(Table32221484[[#This Row],[Course]],COURSELIST[],3,FALSE),""))</f>
        <v/>
      </c>
      <c r="F80" s="3" t="str">
        <f>IF(Table32221484[[#This Row],[Course]]= "","",IFERROR(VLOOKUP(Table32221484[[#This Row],[Course]],COURSELIST[],4,FALSE),""))</f>
        <v/>
      </c>
      <c r="H80" s="3" t="str">
        <f>IF(Table32221484[[#This Row],[Course]]= "","",IFERROR(VLOOKUP(Table32221484[[#This Row],[Course]],COURSELIST[],6,FALSE),""))</f>
        <v/>
      </c>
      <c r="I80" s="3" t="str">
        <f>IF(Table32221484[[#This Row],[Course]]= "","",IFERROR(VLOOKUP(Table32221484[[#This Row],[Course]],COURSELIST[],7,FALSE),""))</f>
        <v/>
      </c>
      <c r="J80" s="3" t="str">
        <f>IF(Table32221484[[#This Row],[Course]]= "","",IFERROR(VLOOKUP(Table32221484[[#This Row],[Course]],COURSELIST[],8,FALSE),""))</f>
        <v/>
      </c>
      <c r="L80" s="171"/>
      <c r="M80" s="17"/>
      <c r="N80" s="3" t="str">
        <f>IF(Table143344506[[#This Row],[Course]]= "","",IFERROR(VLOOKUP(Table143344506[[#This Row],[Course]],COURSELIST[],2,FALSE),"Course Not Found!"))</f>
        <v/>
      </c>
      <c r="O80" s="3" t="str">
        <f>IF(Table143344506[[#This Row],[Course]]= "","",IFERROR(VLOOKUP(Table143344506[[#This Row],[Course]],COURSELIST[],3,FALSE),""))</f>
        <v/>
      </c>
      <c r="P80" s="3" t="str">
        <f>IF(Table143344506[[#This Row],[Course]]= "","",IFERROR(VLOOKUP(Table143344506[[#This Row],[Course]],COURSELIST[],4,FALSE),""))</f>
        <v/>
      </c>
      <c r="R80" s="3" t="str">
        <f>IF(Table143344506[[#This Row],[Course]]= "","",IFERROR(VLOOKUP(Table143344506[[#This Row],[Course]],COURSELIST[],6,FALSE),""))</f>
        <v/>
      </c>
      <c r="S80" s="3" t="str">
        <f>IF(Table143344506[[#This Row],[Course]]= "","",IFERROR(VLOOKUP(Table143344506[[#This Row],[Course]],COURSELIST[],7,FALSE),""))</f>
        <v/>
      </c>
      <c r="T80" s="3" t="str">
        <f>IF(Table143344506[[#This Row],[Course]]= "","",IFERROR(VLOOKUP(Table143344506[[#This Row],[Course]],COURSELIST[],8,FALSE),""))</f>
        <v/>
      </c>
      <c r="V80" s="171"/>
      <c r="W80" s="26"/>
      <c r="X80" s="3" t="str">
        <f>IF(Table92839495[[#This Row],[Course]]= "","",IFERROR(VLOOKUP(Table92839495[[#This Row],[Course]],COURSELIST[],2,FALSE),"Course Not Found!"))</f>
        <v/>
      </c>
      <c r="Y80" s="3" t="str">
        <f>IF(Table92839495[[#This Row],[Course]]= "","",IFERROR(VLOOKUP(Table92839495[[#This Row],[Course]],COURSELIST[],3,FALSE),""))</f>
        <v/>
      </c>
      <c r="Z80" s="3" t="str">
        <f>IF(Table92839495[[#This Row],[Course]]= "","",IFERROR(VLOOKUP(Table92839495[[#This Row],[Course]],COURSELIST[],4,FALSE),""))</f>
        <v/>
      </c>
      <c r="AB80" s="3" t="str">
        <f>IF(Table92839495[[#This Row],[Course]]= "","",IFERROR(VLOOKUP(Table92839495[[#This Row],[Course]],COURSELIST[],6,FALSE),""))</f>
        <v/>
      </c>
      <c r="AC80" s="3" t="str">
        <f>IF(Table92839495[[#This Row],[Course]]= "","",IFERROR(VLOOKUP(Table92839495[[#This Row],[Course]],COURSELIST[],7,FALSE),""))</f>
        <v/>
      </c>
      <c r="AD80" s="3" t="str">
        <f>IF(Table92839495[[#This Row],[Course]]= "","",IFERROR(VLOOKUP(Table92839495[[#This Row],[Course]],COURSELIST[],8,FALSE),""))</f>
        <v/>
      </c>
      <c r="AF80" s="171"/>
      <c r="AG80" s="26"/>
      <c r="AH80" s="3" t="str">
        <f>IF(Table928394952557[[#This Row],[Course]]= "","",IFERROR(VLOOKUP(Table928394952557[[#This Row],[Course]],COURSELIST[],2,FALSE),"Course Not Found!"))</f>
        <v/>
      </c>
      <c r="AI80" s="3" t="str">
        <f>IF(Table928394952557[[#This Row],[Course]]= "","",IFERROR(VLOOKUP(Table928394952557[[#This Row],[Course]],COURSELIST[],3,FALSE),""))</f>
        <v/>
      </c>
      <c r="AJ80" s="3" t="str">
        <f>IF(Table928394952557[[#This Row],[Course]]= "","",IFERROR(VLOOKUP(Table928394952557[[#This Row],[Course]],COURSELIST[],4,FALSE),""))</f>
        <v/>
      </c>
      <c r="AL80" s="3" t="str">
        <f>IF(Table928394952557[[#This Row],[Course]]= "","",IFERROR(VLOOKUP(Table928394952557[[#This Row],[Course]],COURSELIST[],6,FALSE),""))</f>
        <v/>
      </c>
      <c r="AM80" s="3" t="str">
        <f>IF(Table928394952557[[#This Row],[Course]]= "","",IFERROR(VLOOKUP(Table928394952557[[#This Row],[Course]],COURSELIST[],7,FALSE),""))</f>
        <v/>
      </c>
      <c r="AN80" s="3" t="str">
        <f>IF(Table928394952557[[#This Row],[Course]]= "","",IFERROR(VLOOKUP(Table928394952557[[#This Row],[Course]],COURSELIST[],8,FALSE),""))</f>
        <v/>
      </c>
    </row>
    <row r="81" spans="1:40" ht="15.75" outlineLevel="1" thickBot="1">
      <c r="B81" s="171"/>
      <c r="C81" s="26"/>
      <c r="D81" s="3" t="str">
        <f>IF(Table32221484[[#This Row],[Course]]= "","",IFERROR(VLOOKUP(Table32221484[[#This Row],[Course]],COURSELIST[],2,FALSE),"Course Not Found!"))</f>
        <v/>
      </c>
      <c r="E81" s="3" t="str">
        <f>IF(Table32221484[[#This Row],[Course]]= "","",IFERROR(VLOOKUP(Table32221484[[#This Row],[Course]],COURSELIST[],3,FALSE),""))</f>
        <v/>
      </c>
      <c r="F81" s="3" t="str">
        <f>IF(Table32221484[[#This Row],[Course]]= "","",IFERROR(VLOOKUP(Table32221484[[#This Row],[Course]],COURSELIST[],4,FALSE),""))</f>
        <v/>
      </c>
      <c r="H81" s="3" t="str">
        <f>IF(Table32221484[[#This Row],[Course]]= "","",IFERROR(VLOOKUP(Table32221484[[#This Row],[Course]],COURSELIST[],6,FALSE),""))</f>
        <v/>
      </c>
      <c r="I81" s="3" t="str">
        <f>IF(Table32221484[[#This Row],[Course]]= "","",IFERROR(VLOOKUP(Table32221484[[#This Row],[Course]],COURSELIST[],7,FALSE),""))</f>
        <v/>
      </c>
      <c r="J81" s="3" t="str">
        <f>IF(Table32221484[[#This Row],[Course]]= "","",IFERROR(VLOOKUP(Table32221484[[#This Row],[Course]],COURSELIST[],8,FALSE),""))</f>
        <v/>
      </c>
      <c r="L81" s="171"/>
      <c r="M81" s="29"/>
      <c r="N81" s="3" t="str">
        <f>IF(Table143344506[[#This Row],[Course]]= "","",IFERROR(VLOOKUP(Table143344506[[#This Row],[Course]],COURSELIST[],2,FALSE),"Course Not Found!"))</f>
        <v/>
      </c>
      <c r="O81" s="3" t="str">
        <f>IF(Table143344506[[#This Row],[Course]]= "","",IFERROR(VLOOKUP(Table143344506[[#This Row],[Course]],COURSELIST[],3,FALSE),""))</f>
        <v/>
      </c>
      <c r="P81" s="3" t="str">
        <f>IF(Table143344506[[#This Row],[Course]]= "","",IFERROR(VLOOKUP(Table143344506[[#This Row],[Course]],COURSELIST[],4,FALSE),""))</f>
        <v/>
      </c>
      <c r="R81" s="3" t="str">
        <f>IF(Table143344506[[#This Row],[Course]]= "","",IFERROR(VLOOKUP(Table143344506[[#This Row],[Course]],COURSELIST[],6,FALSE),""))</f>
        <v/>
      </c>
      <c r="S81" s="3" t="str">
        <f>IF(Table143344506[[#This Row],[Course]]= "","",IFERROR(VLOOKUP(Table143344506[[#This Row],[Course]],COURSELIST[],7,FALSE),""))</f>
        <v/>
      </c>
      <c r="T81" s="3" t="str">
        <f>IF(Table143344506[[#This Row],[Course]]= "","",IFERROR(VLOOKUP(Table143344506[[#This Row],[Course]],COURSELIST[],8,FALSE),""))</f>
        <v/>
      </c>
      <c r="V81" s="171"/>
      <c r="W81" s="29"/>
      <c r="X81" s="3" t="str">
        <f>IF(Table92839495[[#This Row],[Course]]= "","",IFERROR(VLOOKUP(Table92839495[[#This Row],[Course]],COURSELIST[],2,FALSE),"Course Not Found!"))</f>
        <v/>
      </c>
      <c r="Y81" s="3" t="str">
        <f>IF(Table92839495[[#This Row],[Course]]= "","",IFERROR(VLOOKUP(Table92839495[[#This Row],[Course]],COURSELIST[],3,FALSE),""))</f>
        <v/>
      </c>
      <c r="Z81" s="3" t="str">
        <f>IF(Table92839495[[#This Row],[Course]]= "","",IFERROR(VLOOKUP(Table92839495[[#This Row],[Course]],COURSELIST[],4,FALSE),""))</f>
        <v/>
      </c>
      <c r="AB81" s="3" t="str">
        <f>IF(Table92839495[[#This Row],[Course]]= "","",IFERROR(VLOOKUP(Table92839495[[#This Row],[Course]],COURSELIST[],6,FALSE),""))</f>
        <v/>
      </c>
      <c r="AC81" s="3" t="str">
        <f>IF(Table92839495[[#This Row],[Course]]= "","",IFERROR(VLOOKUP(Table92839495[[#This Row],[Course]],COURSELIST[],7,FALSE),""))</f>
        <v/>
      </c>
      <c r="AD81" s="3" t="str">
        <f>IF(Table92839495[[#This Row],[Course]]= "","",IFERROR(VLOOKUP(Table92839495[[#This Row],[Course]],COURSELIST[],8,FALSE),""))</f>
        <v/>
      </c>
      <c r="AF81" s="171"/>
      <c r="AG81" s="29"/>
      <c r="AH81" s="3" t="str">
        <f>IF(Table928394952557[[#This Row],[Course]]= "","",IFERROR(VLOOKUP(Table928394952557[[#This Row],[Course]],COURSELIST[],2,FALSE),"Course Not Found!"))</f>
        <v/>
      </c>
      <c r="AI81" s="3" t="str">
        <f>IF(Table928394952557[[#This Row],[Course]]= "","",IFERROR(VLOOKUP(Table928394952557[[#This Row],[Course]],COURSELIST[],3,FALSE),""))</f>
        <v/>
      </c>
      <c r="AJ81" s="3" t="str">
        <f>IF(Table928394952557[[#This Row],[Course]]= "","",IFERROR(VLOOKUP(Table928394952557[[#This Row],[Course]],COURSELIST[],4,FALSE),""))</f>
        <v/>
      </c>
      <c r="AL81" s="3" t="str">
        <f>IF(Table928394952557[[#This Row],[Course]]= "","",IFERROR(VLOOKUP(Table928394952557[[#This Row],[Course]],COURSELIST[],6,FALSE),""))</f>
        <v/>
      </c>
      <c r="AM81" s="3" t="str">
        <f>IF(Table928394952557[[#This Row],[Course]]= "","",IFERROR(VLOOKUP(Table928394952557[[#This Row],[Course]],COURSELIST[],7,FALSE),""))</f>
        <v/>
      </c>
      <c r="AN81" s="3" t="str">
        <f>IF(Table928394952557[[#This Row],[Course]]= "","",IFERROR(VLOOKUP(Table928394952557[[#This Row],[Course]],COURSELIST[],8,FALSE),""))</f>
        <v/>
      </c>
    </row>
    <row r="82" spans="1:40" outlineLevel="1">
      <c r="C82" s="20"/>
      <c r="E82" s="3" t="s">
        <v>10</v>
      </c>
      <c r="F82" s="3">
        <f>SUM(F75:F81)</f>
        <v>0</v>
      </c>
      <c r="G82" s="4"/>
      <c r="I82" s="3" t="s">
        <v>27</v>
      </c>
      <c r="J82" s="4">
        <f>SUM(J75:J81)</f>
        <v>0</v>
      </c>
      <c r="O82" s="3" t="s">
        <v>10</v>
      </c>
      <c r="P82" s="3">
        <f>SUM(P75:P81)</f>
        <v>0</v>
      </c>
      <c r="S82" s="3" t="s">
        <v>27</v>
      </c>
      <c r="T82" s="3">
        <f>SUM(T75:T81)</f>
        <v>0</v>
      </c>
      <c r="Y82" s="3" t="s">
        <v>10</v>
      </c>
      <c r="Z82" s="3">
        <f>SUM(Z75:Z81)</f>
        <v>0</v>
      </c>
      <c r="AC82" s="3" t="s">
        <v>27</v>
      </c>
      <c r="AD82" s="3">
        <f>SUM(AD75:AD81)</f>
        <v>0</v>
      </c>
      <c r="AI82" s="3" t="s">
        <v>10</v>
      </c>
      <c r="AJ82" s="3">
        <f>SUM(AJ75:AJ81)</f>
        <v>0</v>
      </c>
      <c r="AM82" s="3" t="s">
        <v>27</v>
      </c>
      <c r="AN82" s="3">
        <f>SUM(AN75:AN81)</f>
        <v>0</v>
      </c>
    </row>
    <row r="83" spans="1:40" outlineLevel="1">
      <c r="C83" s="20"/>
      <c r="E83" s="3" t="s">
        <v>18</v>
      </c>
      <c r="F83" s="3">
        <f>F82+AJ69</f>
        <v>161</v>
      </c>
      <c r="G83" s="4"/>
      <c r="I83" s="3" t="s">
        <v>17</v>
      </c>
      <c r="J83" s="4">
        <f>J82+AN69</f>
        <v>238.58</v>
      </c>
      <c r="O83" s="3" t="s">
        <v>18</v>
      </c>
      <c r="P83" s="3">
        <f>P82+F83</f>
        <v>161</v>
      </c>
      <c r="S83" s="3" t="s">
        <v>17</v>
      </c>
      <c r="T83" s="3">
        <f>T82+J83</f>
        <v>238.58</v>
      </c>
      <c r="Y83" s="3" t="s">
        <v>18</v>
      </c>
      <c r="Z83" s="3">
        <f>Z82+P83</f>
        <v>161</v>
      </c>
      <c r="AC83" s="3" t="s">
        <v>17</v>
      </c>
      <c r="AD83" s="3">
        <f>AD82+T83</f>
        <v>238.58</v>
      </c>
      <c r="AI83" s="3" t="s">
        <v>18</v>
      </c>
      <c r="AJ83" s="3">
        <f>AJ82+Z83</f>
        <v>161</v>
      </c>
      <c r="AM83" s="3" t="s">
        <v>17</v>
      </c>
      <c r="AN83" s="3">
        <f>AN82+AD83</f>
        <v>238.58</v>
      </c>
    </row>
    <row r="84" spans="1:40" outlineLevel="1">
      <c r="C84" s="20"/>
      <c r="E84" s="5" t="s">
        <v>19</v>
      </c>
      <c r="F84" s="5">
        <f>F82+AJ70</f>
        <v>150</v>
      </c>
      <c r="G84" s="25"/>
      <c r="I84" s="3" t="s">
        <v>14</v>
      </c>
      <c r="J84" s="4" t="e">
        <f>J82/F82</f>
        <v>#DIV/0!</v>
      </c>
      <c r="O84" s="5" t="s">
        <v>19</v>
      </c>
      <c r="P84" s="5">
        <f>P82+F84</f>
        <v>150</v>
      </c>
      <c r="Q84" s="5"/>
      <c r="S84" s="3" t="s">
        <v>14</v>
      </c>
      <c r="T84" s="3" t="e">
        <f>T82/P82</f>
        <v>#DIV/0!</v>
      </c>
      <c r="W84" s="5"/>
      <c r="X84" s="5"/>
      <c r="Y84" s="5" t="s">
        <v>19</v>
      </c>
      <c r="Z84" s="5">
        <f>Z82+P84</f>
        <v>150</v>
      </c>
      <c r="AA84" s="5"/>
      <c r="AC84" s="3" t="s">
        <v>14</v>
      </c>
      <c r="AD84" s="3" t="e">
        <f>AD82/Z82</f>
        <v>#DIV/0!</v>
      </c>
      <c r="AG84" s="5"/>
      <c r="AH84" s="5"/>
      <c r="AI84" s="5" t="s">
        <v>19</v>
      </c>
      <c r="AJ84" s="5">
        <f>AJ82+Z84</f>
        <v>150</v>
      </c>
      <c r="AK84" s="5"/>
      <c r="AM84" s="3" t="s">
        <v>14</v>
      </c>
      <c r="AN84" s="3" t="e">
        <f>AN82/AJ82</f>
        <v>#DIV/0!</v>
      </c>
    </row>
    <row r="85" spans="1:40" ht="21.75" outlineLevel="1" thickBot="1">
      <c r="C85" s="20"/>
      <c r="G85" s="4"/>
      <c r="H85" s="24"/>
      <c r="I85" s="5" t="s">
        <v>16</v>
      </c>
      <c r="J85" s="25">
        <f>J83/F84</f>
        <v>1.5905333333333334</v>
      </c>
      <c r="M85" s="5"/>
      <c r="N85" s="5"/>
      <c r="S85" s="5" t="s">
        <v>16</v>
      </c>
      <c r="T85" s="5">
        <f>T83/P84</f>
        <v>1.5905333333333334</v>
      </c>
      <c r="AC85" s="5" t="s">
        <v>16</v>
      </c>
      <c r="AD85" s="5">
        <f>AD83/Z84</f>
        <v>1.5905333333333334</v>
      </c>
      <c r="AM85" s="5" t="s">
        <v>16</v>
      </c>
      <c r="AN85" s="5">
        <f>AN83/AJ84</f>
        <v>1.5905333333333334</v>
      </c>
    </row>
    <row r="86" spans="1:40" ht="21.75" thickBot="1">
      <c r="A86" s="89" t="s">
        <v>605</v>
      </c>
      <c r="D86" s="98"/>
      <c r="J86" s="24"/>
    </row>
    <row r="87" spans="1:40" ht="23.25" customHeight="1" outlineLevel="1" thickBot="1">
      <c r="B87" s="171" t="s">
        <v>607</v>
      </c>
      <c r="C87" s="179" t="s">
        <v>603</v>
      </c>
      <c r="D87" s="180"/>
      <c r="E87" s="181"/>
      <c r="F87" s="164" t="str">
        <f>GradeStatus(Z83)&amp;"--"&amp;Z83&amp;" Credits "&amp;F98&amp;" In Progress"</f>
        <v>Senior--161 Credits 150 In Progress</v>
      </c>
      <c r="G87" s="165"/>
      <c r="H87" s="165"/>
      <c r="I87" s="165"/>
      <c r="J87" s="165"/>
      <c r="L87" s="171" t="s">
        <v>94</v>
      </c>
      <c r="M87" s="175" t="s">
        <v>602</v>
      </c>
      <c r="N87" s="176"/>
      <c r="O87" s="177"/>
      <c r="P87" s="166" t="str">
        <f>GradeStatus(F98)&amp;"--"&amp;F98&amp;" Credits "&amp;P98&amp;" In Progress"</f>
        <v>Senior--150 Credits 150 In Progress</v>
      </c>
      <c r="Q87" s="167"/>
      <c r="R87" s="167"/>
      <c r="S87" s="167"/>
      <c r="T87" s="167"/>
      <c r="V87" s="171" t="s">
        <v>95</v>
      </c>
      <c r="W87" s="168" t="s">
        <v>598</v>
      </c>
      <c r="X87" s="169"/>
      <c r="Y87" s="170"/>
      <c r="Z87" s="162" t="str">
        <f>GradeStatus(P98)&amp;"--"&amp;P98&amp;" Credits "&amp;Z98&amp;" In Progress"</f>
        <v>Senior--150 Credits 150 In Progress</v>
      </c>
      <c r="AA87" s="163"/>
      <c r="AB87" s="163"/>
      <c r="AC87" s="163"/>
      <c r="AD87" s="163"/>
      <c r="AF87" s="171" t="s">
        <v>96</v>
      </c>
      <c r="AG87" s="172" t="s">
        <v>597</v>
      </c>
      <c r="AH87" s="173"/>
      <c r="AI87" s="174"/>
      <c r="AJ87" s="160" t="str">
        <f>GradeStatus(Z97)&amp;"--"&amp;Z97&amp;" Credits "&amp;AJ97&amp;" In Progress"</f>
        <v>Senior--161 Credits 161 In Progress</v>
      </c>
      <c r="AK87" s="161"/>
      <c r="AL87" s="161"/>
      <c r="AM87" s="161"/>
      <c r="AN87" s="161"/>
    </row>
    <row r="88" spans="1:40" ht="15.75" outlineLevel="1" thickBot="1">
      <c r="B88" s="171"/>
      <c r="C88" s="3" t="s">
        <v>20</v>
      </c>
      <c r="D88" s="3" t="s">
        <v>24</v>
      </c>
      <c r="E88" s="3" t="s">
        <v>25</v>
      </c>
      <c r="F88" s="3" t="s">
        <v>10</v>
      </c>
      <c r="G88" s="3" t="s">
        <v>26</v>
      </c>
      <c r="H88" s="3" t="s">
        <v>12</v>
      </c>
      <c r="I88" s="3" t="s">
        <v>36</v>
      </c>
      <c r="J88" s="3" t="s">
        <v>28</v>
      </c>
      <c r="L88" s="171"/>
      <c r="M88" s="3" t="s">
        <v>20</v>
      </c>
      <c r="N88" s="3" t="s">
        <v>24</v>
      </c>
      <c r="O88" s="3" t="s">
        <v>25</v>
      </c>
      <c r="P88" s="3" t="s">
        <v>10</v>
      </c>
      <c r="Q88" s="3" t="s">
        <v>26</v>
      </c>
      <c r="R88" s="3" t="s">
        <v>12</v>
      </c>
      <c r="S88" s="3" t="s">
        <v>36</v>
      </c>
      <c r="T88" s="3" t="s">
        <v>28</v>
      </c>
      <c r="V88" s="171"/>
      <c r="W88" s="3" t="s">
        <v>20</v>
      </c>
      <c r="X88" s="3" t="s">
        <v>24</v>
      </c>
      <c r="Y88" s="3" t="s">
        <v>25</v>
      </c>
      <c r="Z88" s="3" t="s">
        <v>10</v>
      </c>
      <c r="AA88" s="3" t="s">
        <v>26</v>
      </c>
      <c r="AB88" s="3" t="s">
        <v>12</v>
      </c>
      <c r="AC88" s="3" t="s">
        <v>36</v>
      </c>
      <c r="AD88" s="3" t="s">
        <v>28</v>
      </c>
      <c r="AF88" s="171"/>
      <c r="AG88" s="3" t="s">
        <v>20</v>
      </c>
      <c r="AH88" s="3" t="s">
        <v>24</v>
      </c>
      <c r="AI88" s="3" t="s">
        <v>25</v>
      </c>
      <c r="AJ88" s="3" t="s">
        <v>10</v>
      </c>
      <c r="AK88" s="3" t="s">
        <v>26</v>
      </c>
      <c r="AL88" s="3" t="s">
        <v>12</v>
      </c>
      <c r="AM88" s="3" t="s">
        <v>36</v>
      </c>
      <c r="AN88" s="3" t="s">
        <v>28</v>
      </c>
    </row>
    <row r="89" spans="1:40" ht="15.75" outlineLevel="1" thickBot="1">
      <c r="B89" s="171"/>
      <c r="C89" s="101"/>
      <c r="D89" s="3" t="str">
        <f>IF(Table32221488[[#This Row],[Course]]= "","",IFERROR(VLOOKUP(Table32221488[[#This Row],[Course]],COURSELIST[],2,FALSE),"Course Not Found!"))</f>
        <v/>
      </c>
      <c r="E89" s="3" t="str">
        <f>IF(Table32221488[[#This Row],[Course]]= "","",IFERROR(VLOOKUP(Table32221488[[#This Row],[Course]],COURSELIST[],3,FALSE),""))</f>
        <v/>
      </c>
      <c r="F89" s="3" t="str">
        <f>IF(Table32221488[[#This Row],[Course]]= "","",IFERROR(VLOOKUP(Table32221488[[#This Row],[Course]],COURSELIST[],4,FALSE),""))</f>
        <v/>
      </c>
      <c r="H89" s="3" t="str">
        <f>IF(Table32221488[[#This Row],[Course]]= "","",IFERROR(VLOOKUP(Table32221488[[#This Row],[Course]],COURSELIST[],6,FALSE),""))</f>
        <v/>
      </c>
      <c r="I89" s="3" t="str">
        <f>IF(Table32221488[[#This Row],[Course]]= "","",IFERROR(VLOOKUP(Table32221488[[#This Row],[Course]],COURSELIST[],7,FALSE),""))</f>
        <v/>
      </c>
      <c r="J89" s="3" t="str">
        <f>IF(Table32221488[[#This Row],[Course]]= "","",IFERROR(VLOOKUP(Table32221488[[#This Row],[Course]],COURSELIST[],8,FALSE),""))</f>
        <v/>
      </c>
      <c r="L89" s="171"/>
      <c r="M89" s="28"/>
      <c r="N89" s="3" t="str">
        <f>IF(Table1433445010[[#This Row],[Course]]= "","",IFERROR(VLOOKUP(Table1433445010[[#This Row],[Course]],COURSELIST[],2,FALSE),"Course Not Found!"))</f>
        <v/>
      </c>
      <c r="O89" s="3" t="str">
        <f>IF(Table1433445010[[#This Row],[Course]]= "","",IFERROR(VLOOKUP(Table1433445010[[#This Row],[Course]],COURSELIST[],3,FALSE),""))</f>
        <v/>
      </c>
      <c r="P89" s="3" t="str">
        <f>IF(Table1433445010[[#This Row],[Course]]= "","",IFERROR(VLOOKUP(Table1433445010[[#This Row],[Course]],COURSELIST[],4,FALSE),""))</f>
        <v/>
      </c>
      <c r="R89" s="3" t="str">
        <f>IF(Table1433445010[[#This Row],[Course]]= "","",IFERROR(VLOOKUP(Table1433445010[[#This Row],[Course]],COURSELIST[],6,FALSE),""))</f>
        <v/>
      </c>
      <c r="S89" s="3" t="str">
        <f>IF(Table1433445010[[#This Row],[Course]]= "","",IFERROR(VLOOKUP(Table1433445010[[#This Row],[Course]],COURSELIST[],7,FALSE),""))</f>
        <v/>
      </c>
      <c r="T89" s="3" t="str">
        <f>IF(Table1433445010[[#This Row],[Course]]= "","",IFERROR(VLOOKUP(Table1433445010[[#This Row],[Course]],COURSELIST[],8,FALSE),""))</f>
        <v/>
      </c>
      <c r="V89" s="171"/>
      <c r="W89" s="26"/>
      <c r="X89" s="3" t="str">
        <f>IF(Table92839499[[#This Row],[Course]]= "","",IFERROR(VLOOKUP(Table92839499[[#This Row],[Course]],COURSELIST[],2,FALSE),"Course Not Found!"))</f>
        <v/>
      </c>
      <c r="Y89" s="3" t="str">
        <f>IF(Table92839499[[#This Row],[Course]]= "","",IFERROR(VLOOKUP(Table92839499[[#This Row],[Course]],COURSELIST[],3,FALSE),""))</f>
        <v/>
      </c>
      <c r="Z89" s="3" t="str">
        <f>IF(Table92839499[[#This Row],[Course]]= "","",IFERROR(VLOOKUP(Table92839499[[#This Row],[Course]],COURSELIST[],4,FALSE),""))</f>
        <v/>
      </c>
      <c r="AB89" s="3" t="str">
        <f>IF(Table92839499[[#This Row],[Course]]= "","",IFERROR(VLOOKUP(Table92839499[[#This Row],[Course]],COURSELIST[],6,FALSE),""))</f>
        <v/>
      </c>
      <c r="AC89" s="3" t="str">
        <f>IF(Table92839499[[#This Row],[Course]]= "","",IFERROR(VLOOKUP(Table92839499[[#This Row],[Course]],COURSELIST[],7,FALSE),""))</f>
        <v/>
      </c>
      <c r="AD89" s="3" t="str">
        <f>IF(Table92839499[[#This Row],[Course]]= "","",IFERROR(VLOOKUP(Table92839499[[#This Row],[Course]],COURSELIST[],8,FALSE),""))</f>
        <v/>
      </c>
      <c r="AF89" s="171"/>
      <c r="AG89" s="26"/>
      <c r="AH89" s="3" t="str">
        <f>IF(Table9283949525511[[#This Row],[Course]]= "","",IFERROR(VLOOKUP(Table9283949525511[[#This Row],[Course]],COURSELIST[],2,FALSE),"Course Not Found!"))</f>
        <v/>
      </c>
      <c r="AI89" s="3" t="str">
        <f>IF(Table9283949525511[[#This Row],[Course]]= "","",IFERROR(VLOOKUP(Table9283949525511[[#This Row],[Course]],COURSELIST[],3,FALSE),""))</f>
        <v/>
      </c>
      <c r="AJ89" s="3" t="str">
        <f>IF(Table9283949525511[[#This Row],[Course]]= "","",IFERROR(VLOOKUP(Table9283949525511[[#This Row],[Course]],COURSELIST[],4,FALSE),""))</f>
        <v/>
      </c>
      <c r="AL89" s="3" t="str">
        <f>IF(Table9283949525511[[#This Row],[Course]]= "","",IFERROR(VLOOKUP(Table9283949525511[[#This Row],[Course]],COURSELIST[],6,FALSE),""))</f>
        <v/>
      </c>
      <c r="AM89" s="3" t="str">
        <f>IF(Table9283949525511[[#This Row],[Course]]= "","",IFERROR(VLOOKUP(Table9283949525511[[#This Row],[Course]],COURSELIST[],7,FALSE),""))</f>
        <v/>
      </c>
      <c r="AN89" s="3" t="str">
        <f>IF(Table9283949525511[[#This Row],[Course]]= "","",IFERROR(VLOOKUP(Table9283949525511[[#This Row],[Course]],COURSELIST[],8,FALSE),""))</f>
        <v/>
      </c>
    </row>
    <row r="90" spans="1:40" ht="15.75" outlineLevel="1" thickBot="1">
      <c r="B90" s="171"/>
      <c r="C90" s="100"/>
      <c r="D90" s="3" t="str">
        <f>IF(Table32221488[[#This Row],[Course]]= "","",IFERROR(VLOOKUP(Table32221488[[#This Row],[Course]],COURSELIST[],2,FALSE),"Course Not Found!"))</f>
        <v/>
      </c>
      <c r="E90" s="3" t="str">
        <f>IF(Table32221488[[#This Row],[Course]]= "","",IFERROR(VLOOKUP(Table32221488[[#This Row],[Course]],COURSELIST[],3,FALSE),""))</f>
        <v/>
      </c>
      <c r="F90" s="3" t="str">
        <f>IF(Table32221488[[#This Row],[Course]]= "","",IFERROR(VLOOKUP(Table32221488[[#This Row],[Course]],COURSELIST[],4,FALSE),""))</f>
        <v/>
      </c>
      <c r="H90" s="3" t="str">
        <f>IF(Table32221488[[#This Row],[Course]]= "","",IFERROR(VLOOKUP(Table32221488[[#This Row],[Course]],COURSELIST[],6,FALSE),""))</f>
        <v/>
      </c>
      <c r="I90" s="3" t="str">
        <f>IF(Table32221488[[#This Row],[Course]]= "","",IFERROR(VLOOKUP(Table32221488[[#This Row],[Course]],COURSELIST[],7,FALSE),""))</f>
        <v/>
      </c>
      <c r="J90" s="3" t="str">
        <f>IF(Table32221488[[#This Row],[Course]]= "","",IFERROR(VLOOKUP(Table32221488[[#This Row],[Course]],COURSELIST[],8,FALSE),""))</f>
        <v/>
      </c>
      <c r="K90" s="5"/>
      <c r="L90" s="171"/>
      <c r="M90" s="26"/>
      <c r="N90" s="3" t="str">
        <f>IF(Table1433445010[[#This Row],[Course]]= "","",IFERROR(VLOOKUP(Table1433445010[[#This Row],[Course]],COURSELIST[],2,FALSE),"Course Not Found!"))</f>
        <v/>
      </c>
      <c r="O90" s="3" t="str">
        <f>IF(Table1433445010[[#This Row],[Course]]= "","",IFERROR(VLOOKUP(Table1433445010[[#This Row],[Course]],COURSELIST[],3,FALSE),""))</f>
        <v/>
      </c>
      <c r="P90" s="3" t="str">
        <f>IF(Table1433445010[[#This Row],[Course]]= "","",IFERROR(VLOOKUP(Table1433445010[[#This Row],[Course]],COURSELIST[],4,FALSE),""))</f>
        <v/>
      </c>
      <c r="R90" s="3" t="str">
        <f>IF(Table1433445010[[#This Row],[Course]]= "","",IFERROR(VLOOKUP(Table1433445010[[#This Row],[Course]],COURSELIST[],6,FALSE),""))</f>
        <v/>
      </c>
      <c r="S90" s="3" t="str">
        <f>IF(Table1433445010[[#This Row],[Course]]= "","",IFERROR(VLOOKUP(Table1433445010[[#This Row],[Course]],COURSELIST[],7,FALSE),""))</f>
        <v/>
      </c>
      <c r="T90" s="3" t="str">
        <f>IF(Table1433445010[[#This Row],[Course]]= "","",IFERROR(VLOOKUP(Table1433445010[[#This Row],[Course]],COURSELIST[],8,FALSE),""))</f>
        <v/>
      </c>
      <c r="U90" s="5"/>
      <c r="V90" s="171"/>
      <c r="W90" s="26"/>
      <c r="X90" s="3" t="str">
        <f>IF(Table92839499[[#This Row],[Course]]= "","",IFERROR(VLOOKUP(Table92839499[[#This Row],[Course]],COURSELIST[],2,FALSE),"Course Not Found!"))</f>
        <v/>
      </c>
      <c r="Y90" s="3" t="str">
        <f>IF(Table92839499[[#This Row],[Course]]= "","",IFERROR(VLOOKUP(Table92839499[[#This Row],[Course]],COURSELIST[],3,FALSE),""))</f>
        <v/>
      </c>
      <c r="Z90" s="3" t="str">
        <f>IF(Table92839499[[#This Row],[Course]]= "","",IFERROR(VLOOKUP(Table92839499[[#This Row],[Course]],COURSELIST[],4,FALSE),""))</f>
        <v/>
      </c>
      <c r="AB90" s="3" t="str">
        <f>IF(Table92839499[[#This Row],[Course]]= "","",IFERROR(VLOOKUP(Table92839499[[#This Row],[Course]],COURSELIST[],6,FALSE),""))</f>
        <v/>
      </c>
      <c r="AC90" s="3" t="str">
        <f>IF(Table92839499[[#This Row],[Course]]= "","",IFERROR(VLOOKUP(Table92839499[[#This Row],[Course]],COURSELIST[],7,FALSE),""))</f>
        <v/>
      </c>
      <c r="AD90" s="3" t="str">
        <f>IF(Table92839499[[#This Row],[Course]]= "","",IFERROR(VLOOKUP(Table92839499[[#This Row],[Course]],COURSELIST[],8,FALSE),""))</f>
        <v/>
      </c>
      <c r="AF90" s="171"/>
      <c r="AG90" s="26"/>
      <c r="AH90" s="3" t="str">
        <f>IF(Table9283949525511[[#This Row],[Course]]= "","",IFERROR(VLOOKUP(Table9283949525511[[#This Row],[Course]],COURSELIST[],2,FALSE),"Course Not Found!"))</f>
        <v/>
      </c>
      <c r="AI90" s="3" t="str">
        <f>IF(Table9283949525511[[#This Row],[Course]]= "","",IFERROR(VLOOKUP(Table9283949525511[[#This Row],[Course]],COURSELIST[],3,FALSE),""))</f>
        <v/>
      </c>
      <c r="AJ90" s="3" t="str">
        <f>IF(Table9283949525511[[#This Row],[Course]]= "","",IFERROR(VLOOKUP(Table9283949525511[[#This Row],[Course]],COURSELIST[],4,FALSE),""))</f>
        <v/>
      </c>
      <c r="AL90" s="3" t="str">
        <f>IF(Table9283949525511[[#This Row],[Course]]= "","",IFERROR(VLOOKUP(Table9283949525511[[#This Row],[Course]],COURSELIST[],6,FALSE),""))</f>
        <v/>
      </c>
      <c r="AM90" s="3" t="str">
        <f>IF(Table9283949525511[[#This Row],[Course]]= "","",IFERROR(VLOOKUP(Table9283949525511[[#This Row],[Course]],COURSELIST[],7,FALSE),""))</f>
        <v/>
      </c>
      <c r="AN90" s="3" t="str">
        <f>IF(Table9283949525511[[#This Row],[Course]]= "","",IFERROR(VLOOKUP(Table9283949525511[[#This Row],[Course]],COURSELIST[],8,FALSE),""))</f>
        <v/>
      </c>
    </row>
    <row r="91" spans="1:40" ht="15.75" outlineLevel="1" thickBot="1">
      <c r="B91" s="171"/>
      <c r="C91" s="100"/>
      <c r="D91" s="3" t="str">
        <f>IF(Table32221488[[#This Row],[Course]]= "","",IFERROR(VLOOKUP(Table32221488[[#This Row],[Course]],COURSELIST[],2,FALSE),"Course Not Found!"))</f>
        <v/>
      </c>
      <c r="E91" s="3" t="str">
        <f>IF(Table32221488[[#This Row],[Course]]= "","",IFERROR(VLOOKUP(Table32221488[[#This Row],[Course]],COURSELIST[],3,FALSE),""))</f>
        <v/>
      </c>
      <c r="F91" s="3" t="str">
        <f>IF(Table32221488[[#This Row],[Course]]= "","",IFERROR(VLOOKUP(Table32221488[[#This Row],[Course]],COURSELIST[],4,FALSE),""))</f>
        <v/>
      </c>
      <c r="H91" s="3" t="str">
        <f>IF(Table32221488[[#This Row],[Course]]= "","",IFERROR(VLOOKUP(Table32221488[[#This Row],[Course]],COURSELIST[],6,FALSE),""))</f>
        <v/>
      </c>
      <c r="I91" s="3" t="str">
        <f>IF(Table32221488[[#This Row],[Course]]= "","",IFERROR(VLOOKUP(Table32221488[[#This Row],[Course]],COURSELIST[],7,FALSE),""))</f>
        <v/>
      </c>
      <c r="J91" s="3" t="str">
        <f>IF(Table32221488[[#This Row],[Course]]= "","",IFERROR(VLOOKUP(Table32221488[[#This Row],[Course]],COURSELIST[],8,FALSE),""))</f>
        <v/>
      </c>
      <c r="L91" s="171"/>
      <c r="M91" s="26"/>
      <c r="N91" s="3" t="str">
        <f>IF(Table1433445010[[#This Row],[Course]]= "","",IFERROR(VLOOKUP(Table1433445010[[#This Row],[Course]],COURSELIST[],2,FALSE),"Course Not Found!"))</f>
        <v/>
      </c>
      <c r="O91" s="3" t="str">
        <f>IF(Table1433445010[[#This Row],[Course]]= "","",IFERROR(VLOOKUP(Table1433445010[[#This Row],[Course]],COURSELIST[],3,FALSE),""))</f>
        <v/>
      </c>
      <c r="P91" s="3" t="str">
        <f>IF(Table1433445010[[#This Row],[Course]]= "","",IFERROR(VLOOKUP(Table1433445010[[#This Row],[Course]],COURSELIST[],4,FALSE),""))</f>
        <v/>
      </c>
      <c r="R91" s="3" t="str">
        <f>IF(Table1433445010[[#This Row],[Course]]= "","",IFERROR(VLOOKUP(Table1433445010[[#This Row],[Course]],COURSELIST[],6,FALSE),""))</f>
        <v/>
      </c>
      <c r="S91" s="3" t="str">
        <f>IF(Table1433445010[[#This Row],[Course]]= "","",IFERROR(VLOOKUP(Table1433445010[[#This Row],[Course]],COURSELIST[],7,FALSE),""))</f>
        <v/>
      </c>
      <c r="T91" s="3" t="str">
        <f>IF(Table1433445010[[#This Row],[Course]]= "","",IFERROR(VLOOKUP(Table1433445010[[#This Row],[Course]],COURSELIST[],8,FALSE),""))</f>
        <v/>
      </c>
      <c r="V91" s="171"/>
      <c r="W91" s="17"/>
      <c r="X91" s="3" t="str">
        <f>IF(Table92839499[[#This Row],[Course]]= "","",IFERROR(VLOOKUP(Table92839499[[#This Row],[Course]],COURSELIST[],2,FALSE),"Course Not Found!"))</f>
        <v/>
      </c>
      <c r="Y91" s="3" t="str">
        <f>IF(Table92839499[[#This Row],[Course]]= "","",IFERROR(VLOOKUP(Table92839499[[#This Row],[Course]],COURSELIST[],3,FALSE),""))</f>
        <v/>
      </c>
      <c r="Z91" s="3" t="str">
        <f>IF(Table92839499[[#This Row],[Course]]= "","",IFERROR(VLOOKUP(Table92839499[[#This Row],[Course]],COURSELIST[],4,FALSE),""))</f>
        <v/>
      </c>
      <c r="AB91" s="3" t="str">
        <f>IF(Table92839499[[#This Row],[Course]]= "","",IFERROR(VLOOKUP(Table92839499[[#This Row],[Course]],COURSELIST[],6,FALSE),""))</f>
        <v/>
      </c>
      <c r="AC91" s="3" t="str">
        <f>IF(Table92839499[[#This Row],[Course]]= "","",IFERROR(VLOOKUP(Table92839499[[#This Row],[Course]],COURSELIST[],7,FALSE),""))</f>
        <v/>
      </c>
      <c r="AD91" s="3" t="str">
        <f>IF(Table92839499[[#This Row],[Course]]= "","",IFERROR(VLOOKUP(Table92839499[[#This Row],[Course]],COURSELIST[],8,FALSE),""))</f>
        <v/>
      </c>
      <c r="AF91" s="171"/>
      <c r="AG91" s="17"/>
      <c r="AH91" s="3" t="str">
        <f>IF(Table9283949525511[[#This Row],[Course]]= "","",IFERROR(VLOOKUP(Table9283949525511[[#This Row],[Course]],COURSELIST[],2,FALSE),"Course Not Found!"))</f>
        <v/>
      </c>
      <c r="AI91" s="3" t="str">
        <f>IF(Table9283949525511[[#This Row],[Course]]= "","",IFERROR(VLOOKUP(Table9283949525511[[#This Row],[Course]],COURSELIST[],3,FALSE),""))</f>
        <v/>
      </c>
      <c r="AJ91" s="3" t="str">
        <f>IF(Table9283949525511[[#This Row],[Course]]= "","",IFERROR(VLOOKUP(Table9283949525511[[#This Row],[Course]],COURSELIST[],4,FALSE),""))</f>
        <v/>
      </c>
      <c r="AL91" s="3" t="str">
        <f>IF(Table9283949525511[[#This Row],[Course]]= "","",IFERROR(VLOOKUP(Table9283949525511[[#This Row],[Course]],COURSELIST[],6,FALSE),""))</f>
        <v/>
      </c>
      <c r="AM91" s="3" t="str">
        <f>IF(Table9283949525511[[#This Row],[Course]]= "","",IFERROR(VLOOKUP(Table9283949525511[[#This Row],[Course]],COURSELIST[],7,FALSE),""))</f>
        <v/>
      </c>
      <c r="AN91" s="3" t="str">
        <f>IF(Table9283949525511[[#This Row],[Course]]= "","",IFERROR(VLOOKUP(Table9283949525511[[#This Row],[Course]],COURSELIST[],8,FALSE),""))</f>
        <v/>
      </c>
    </row>
    <row r="92" spans="1:40" ht="15.75" outlineLevel="1" thickBot="1">
      <c r="B92" s="171"/>
      <c r="C92" s="100"/>
      <c r="D92" s="3" t="str">
        <f>IF(Table32221488[[#This Row],[Course]]= "","",IFERROR(VLOOKUP(Table32221488[[#This Row],[Course]],COURSELIST[],2,FALSE),"Course Not Found!"))</f>
        <v/>
      </c>
      <c r="E92" s="3" t="str">
        <f>IF(Table32221488[[#This Row],[Course]]= "","",IFERROR(VLOOKUP(Table32221488[[#This Row],[Course]],COURSELIST[],3,FALSE),""))</f>
        <v/>
      </c>
      <c r="F92" s="3" t="str">
        <f>IF(Table32221488[[#This Row],[Course]]= "","",IFERROR(VLOOKUP(Table32221488[[#This Row],[Course]],COURSELIST[],4,FALSE),""))</f>
        <v/>
      </c>
      <c r="H92" s="3" t="str">
        <f>IF(Table32221488[[#This Row],[Course]]= "","",IFERROR(VLOOKUP(Table32221488[[#This Row],[Course]],COURSELIST[],6,FALSE),""))</f>
        <v/>
      </c>
      <c r="I92" s="3" t="str">
        <f>IF(Table32221488[[#This Row],[Course]]= "","",IFERROR(VLOOKUP(Table32221488[[#This Row],[Course]],COURSELIST[],7,FALSE),""))</f>
        <v/>
      </c>
      <c r="J92" s="3" t="str">
        <f>IF(Table32221488[[#This Row],[Course]]= "","",IFERROR(VLOOKUP(Table32221488[[#This Row],[Course]],COURSELIST[],8,FALSE),""))</f>
        <v/>
      </c>
      <c r="L92" s="171"/>
      <c r="M92" s="26"/>
      <c r="N92" s="3" t="str">
        <f>IF(Table1433445010[[#This Row],[Course]]= "","",IFERROR(VLOOKUP(Table1433445010[[#This Row],[Course]],COURSELIST[],2,FALSE),"Course Not Found!"))</f>
        <v/>
      </c>
      <c r="O92" s="3" t="str">
        <f>IF(Table1433445010[[#This Row],[Course]]= "","",IFERROR(VLOOKUP(Table1433445010[[#This Row],[Course]],COURSELIST[],3,FALSE),""))</f>
        <v/>
      </c>
      <c r="P92" s="3" t="str">
        <f>IF(Table1433445010[[#This Row],[Course]]= "","",IFERROR(VLOOKUP(Table1433445010[[#This Row],[Course]],COURSELIST[],4,FALSE),""))</f>
        <v/>
      </c>
      <c r="R92" s="3" t="str">
        <f>IF(Table1433445010[[#This Row],[Course]]= "","",IFERROR(VLOOKUP(Table1433445010[[#This Row],[Course]],COURSELIST[],6,FALSE),""))</f>
        <v/>
      </c>
      <c r="S92" s="3" t="str">
        <f>IF(Table1433445010[[#This Row],[Course]]= "","",IFERROR(VLOOKUP(Table1433445010[[#This Row],[Course]],COURSELIST[],7,FALSE),""))</f>
        <v/>
      </c>
      <c r="T92" s="3" t="str">
        <f>IF(Table1433445010[[#This Row],[Course]]= "","",IFERROR(VLOOKUP(Table1433445010[[#This Row],[Course]],COURSELIST[],8,FALSE),""))</f>
        <v/>
      </c>
      <c r="V92" s="171"/>
      <c r="W92" s="17"/>
      <c r="X92" s="3" t="str">
        <f>IF(Table92839499[[#This Row],[Course]]= "","",IFERROR(VLOOKUP(Table92839499[[#This Row],[Course]],COURSELIST[],2,FALSE),"Course Not Found!"))</f>
        <v/>
      </c>
      <c r="Y92" s="3" t="str">
        <f>IF(Table92839499[[#This Row],[Course]]= "","",IFERROR(VLOOKUP(Table92839499[[#This Row],[Course]],COURSELIST[],3,FALSE),""))</f>
        <v/>
      </c>
      <c r="Z92" s="3" t="str">
        <f>IF(Table92839499[[#This Row],[Course]]= "","",IFERROR(VLOOKUP(Table92839499[[#This Row],[Course]],COURSELIST[],4,FALSE),""))</f>
        <v/>
      </c>
      <c r="AB92" s="3" t="str">
        <f>IF(Table92839499[[#This Row],[Course]]= "","",IFERROR(VLOOKUP(Table92839499[[#This Row],[Course]],COURSELIST[],6,FALSE),""))</f>
        <v/>
      </c>
      <c r="AC92" s="3" t="str">
        <f>IF(Table92839499[[#This Row],[Course]]= "","",IFERROR(VLOOKUP(Table92839499[[#This Row],[Course]],COURSELIST[],7,FALSE),""))</f>
        <v/>
      </c>
      <c r="AD92" s="3" t="str">
        <f>IF(Table92839499[[#This Row],[Course]]= "","",IFERROR(VLOOKUP(Table92839499[[#This Row],[Course]],COURSELIST[],8,FALSE),""))</f>
        <v/>
      </c>
      <c r="AF92" s="171"/>
      <c r="AG92" s="17"/>
      <c r="AH92" s="3" t="str">
        <f>IF(Table9283949525511[[#This Row],[Course]]= "","",IFERROR(VLOOKUP(Table9283949525511[[#This Row],[Course]],COURSELIST[],2,FALSE),"Course Not Found!"))</f>
        <v/>
      </c>
      <c r="AI92" s="3" t="str">
        <f>IF(Table9283949525511[[#This Row],[Course]]= "","",IFERROR(VLOOKUP(Table9283949525511[[#This Row],[Course]],COURSELIST[],3,FALSE),""))</f>
        <v/>
      </c>
      <c r="AJ92" s="3" t="str">
        <f>IF(Table9283949525511[[#This Row],[Course]]= "","",IFERROR(VLOOKUP(Table9283949525511[[#This Row],[Course]],COURSELIST[],4,FALSE),""))</f>
        <v/>
      </c>
      <c r="AL92" s="3" t="str">
        <f>IF(Table9283949525511[[#This Row],[Course]]= "","",IFERROR(VLOOKUP(Table9283949525511[[#This Row],[Course]],COURSELIST[],6,FALSE),""))</f>
        <v/>
      </c>
      <c r="AM92" s="3" t="str">
        <f>IF(Table9283949525511[[#This Row],[Course]]= "","",IFERROR(VLOOKUP(Table9283949525511[[#This Row],[Course]],COURSELIST[],7,FALSE),""))</f>
        <v/>
      </c>
      <c r="AN92" s="3" t="str">
        <f>IF(Table9283949525511[[#This Row],[Course]]= "","",IFERROR(VLOOKUP(Table9283949525511[[#This Row],[Course]],COURSELIST[],8,FALSE),""))</f>
        <v/>
      </c>
    </row>
    <row r="93" spans="1:40" ht="15.75" outlineLevel="1" thickBot="1">
      <c r="B93" s="171"/>
      <c r="C93" s="100"/>
      <c r="D93" s="3" t="str">
        <f>IF(Table32221488[[#This Row],[Course]]= "","",IFERROR(VLOOKUP(Table32221488[[#This Row],[Course]],COURSELIST[],2,FALSE),"Course Not Found!"))</f>
        <v/>
      </c>
      <c r="E93" s="3" t="str">
        <f>IF(Table32221488[[#This Row],[Course]]= "","",IFERROR(VLOOKUP(Table32221488[[#This Row],[Course]],COURSELIST[],3,FALSE),""))</f>
        <v/>
      </c>
      <c r="F93" s="3" t="str">
        <f>IF(Table32221488[[#This Row],[Course]]= "","",IFERROR(VLOOKUP(Table32221488[[#This Row],[Course]],COURSELIST[],4,FALSE),""))</f>
        <v/>
      </c>
      <c r="H93" s="3" t="str">
        <f>IF(Table32221488[[#This Row],[Course]]= "","",IFERROR(VLOOKUP(Table32221488[[#This Row],[Course]],COURSELIST[],6,FALSE),""))</f>
        <v/>
      </c>
      <c r="I93" s="3" t="str">
        <f>IF(Table32221488[[#This Row],[Course]]= "","",IFERROR(VLOOKUP(Table32221488[[#This Row],[Course]],COURSELIST[],7,FALSE),""))</f>
        <v/>
      </c>
      <c r="J93" s="3" t="str">
        <f>IF(Table32221488[[#This Row],[Course]]= "","",IFERROR(VLOOKUP(Table32221488[[#This Row],[Course]],COURSELIST[],8,FALSE),""))</f>
        <v/>
      </c>
      <c r="L93" s="171"/>
      <c r="M93" s="18"/>
      <c r="N93" s="3" t="str">
        <f>IF(Table1433445010[[#This Row],[Course]]= "","",IFERROR(VLOOKUP(Table1433445010[[#This Row],[Course]],COURSELIST[],2,FALSE),"Course Not Found!"))</f>
        <v/>
      </c>
      <c r="O93" s="3" t="str">
        <f>IF(Table1433445010[[#This Row],[Course]]= "","",IFERROR(VLOOKUP(Table1433445010[[#This Row],[Course]],COURSELIST[],3,FALSE),""))</f>
        <v/>
      </c>
      <c r="P93" s="3" t="str">
        <f>IF(Table1433445010[[#This Row],[Course]]= "","",IFERROR(VLOOKUP(Table1433445010[[#This Row],[Course]],COURSELIST[],4,FALSE),""))</f>
        <v/>
      </c>
      <c r="R93" s="3" t="str">
        <f>IF(Table1433445010[[#This Row],[Course]]= "","",IFERROR(VLOOKUP(Table1433445010[[#This Row],[Course]],COURSELIST[],6,FALSE),""))</f>
        <v/>
      </c>
      <c r="S93" s="3" t="str">
        <f>IF(Table1433445010[[#This Row],[Course]]= "","",IFERROR(VLOOKUP(Table1433445010[[#This Row],[Course]],COURSELIST[],7,FALSE),""))</f>
        <v/>
      </c>
      <c r="T93" s="5" t="str">
        <f>IF(Table1433445010[[#This Row],[Course]]= "","",IFERROR(VLOOKUP(Table1433445010[[#This Row],[Course]],COURSELIST[],8,FALSE),""))</f>
        <v/>
      </c>
      <c r="V93" s="171"/>
      <c r="W93" s="26"/>
      <c r="X93" s="3" t="str">
        <f>IF(Table92839499[[#This Row],[Course]]= "","",IFERROR(VLOOKUP(Table92839499[[#This Row],[Course]],COURSELIST[],2,FALSE),"Course Not Found!"))</f>
        <v/>
      </c>
      <c r="Y93" s="3" t="str">
        <f>IF(Table92839499[[#This Row],[Course]]= "","",IFERROR(VLOOKUP(Table92839499[[#This Row],[Course]],COURSELIST[],3,FALSE),""))</f>
        <v/>
      </c>
      <c r="Z93" s="3" t="str">
        <f>IF(Table92839499[[#This Row],[Course]]= "","",IFERROR(VLOOKUP(Table92839499[[#This Row],[Course]],COURSELIST[],4,FALSE),""))</f>
        <v/>
      </c>
      <c r="AB93" s="3" t="str">
        <f>IF(Table92839499[[#This Row],[Course]]= "","",IFERROR(VLOOKUP(Table92839499[[#This Row],[Course]],COURSELIST[],6,FALSE),""))</f>
        <v/>
      </c>
      <c r="AC93" s="3" t="str">
        <f>IF(Table92839499[[#This Row],[Course]]= "","",IFERROR(VLOOKUP(Table92839499[[#This Row],[Course]],COURSELIST[],7,FALSE),""))</f>
        <v/>
      </c>
      <c r="AD93" s="3" t="str">
        <f>IF(Table92839499[[#This Row],[Course]]= "","",IFERROR(VLOOKUP(Table92839499[[#This Row],[Course]],COURSELIST[],8,FALSE),""))</f>
        <v/>
      </c>
      <c r="AF93" s="171"/>
      <c r="AG93" s="26"/>
      <c r="AH93" s="3" t="str">
        <f>IF(Table9283949525511[[#This Row],[Course]]= "","",IFERROR(VLOOKUP(Table9283949525511[[#This Row],[Course]],COURSELIST[],2,FALSE),"Course Not Found!"))</f>
        <v/>
      </c>
      <c r="AI93" s="3" t="str">
        <f>IF(Table9283949525511[[#This Row],[Course]]= "","",IFERROR(VLOOKUP(Table9283949525511[[#This Row],[Course]],COURSELIST[],3,FALSE),""))</f>
        <v/>
      </c>
      <c r="AJ93" s="3" t="str">
        <f>IF(Table9283949525511[[#This Row],[Course]]= "","",IFERROR(VLOOKUP(Table9283949525511[[#This Row],[Course]],COURSELIST[],4,FALSE),""))</f>
        <v/>
      </c>
      <c r="AL93" s="3" t="str">
        <f>IF(Table9283949525511[[#This Row],[Course]]= "","",IFERROR(VLOOKUP(Table9283949525511[[#This Row],[Course]],COURSELIST[],6,FALSE),""))</f>
        <v/>
      </c>
      <c r="AM93" s="3" t="str">
        <f>IF(Table9283949525511[[#This Row],[Course]]= "","",IFERROR(VLOOKUP(Table9283949525511[[#This Row],[Course]],COURSELIST[],7,FALSE),""))</f>
        <v/>
      </c>
      <c r="AN93" s="3" t="str">
        <f>IF(Table9283949525511[[#This Row],[Course]]= "","",IFERROR(VLOOKUP(Table9283949525511[[#This Row],[Course]],COURSELIST[],8,FALSE),""))</f>
        <v/>
      </c>
    </row>
    <row r="94" spans="1:40" ht="15.75" outlineLevel="1" thickBot="1">
      <c r="B94" s="171"/>
      <c r="C94" s="26"/>
      <c r="D94" s="3" t="str">
        <f>IF(Table32221488[[#This Row],[Course]]= "","",IFERROR(VLOOKUP(Table32221488[[#This Row],[Course]],COURSELIST[],2,FALSE),"Course Not Found!"))</f>
        <v/>
      </c>
      <c r="E94" s="3" t="str">
        <f>IF(Table32221488[[#This Row],[Course]]= "","",IFERROR(VLOOKUP(Table32221488[[#This Row],[Course]],COURSELIST[],3,FALSE),""))</f>
        <v/>
      </c>
      <c r="F94" s="3" t="str">
        <f>IF(Table32221488[[#This Row],[Course]]= "","",IFERROR(VLOOKUP(Table32221488[[#This Row],[Course]],COURSELIST[],4,FALSE),""))</f>
        <v/>
      </c>
      <c r="H94" s="3" t="str">
        <f>IF(Table32221488[[#This Row],[Course]]= "","",IFERROR(VLOOKUP(Table32221488[[#This Row],[Course]],COURSELIST[],6,FALSE),""))</f>
        <v/>
      </c>
      <c r="I94" s="3" t="str">
        <f>IF(Table32221488[[#This Row],[Course]]= "","",IFERROR(VLOOKUP(Table32221488[[#This Row],[Course]],COURSELIST[],7,FALSE),""))</f>
        <v/>
      </c>
      <c r="J94" s="3" t="str">
        <f>IF(Table32221488[[#This Row],[Course]]= "","",IFERROR(VLOOKUP(Table32221488[[#This Row],[Course]],COURSELIST[],8,FALSE),""))</f>
        <v/>
      </c>
      <c r="L94" s="171"/>
      <c r="M94" s="17"/>
      <c r="N94" s="3" t="str">
        <f>IF(Table1433445010[[#This Row],[Course]]= "","",IFERROR(VLOOKUP(Table1433445010[[#This Row],[Course]],COURSELIST[],2,FALSE),"Course Not Found!"))</f>
        <v/>
      </c>
      <c r="O94" s="3" t="str">
        <f>IF(Table1433445010[[#This Row],[Course]]= "","",IFERROR(VLOOKUP(Table1433445010[[#This Row],[Course]],COURSELIST[],3,FALSE),""))</f>
        <v/>
      </c>
      <c r="P94" s="3" t="str">
        <f>IF(Table1433445010[[#This Row],[Course]]= "","",IFERROR(VLOOKUP(Table1433445010[[#This Row],[Course]],COURSELIST[],4,FALSE),""))</f>
        <v/>
      </c>
      <c r="R94" s="3" t="str">
        <f>IF(Table1433445010[[#This Row],[Course]]= "","",IFERROR(VLOOKUP(Table1433445010[[#This Row],[Course]],COURSELIST[],6,FALSE),""))</f>
        <v/>
      </c>
      <c r="S94" s="3" t="str">
        <f>IF(Table1433445010[[#This Row],[Course]]= "","",IFERROR(VLOOKUP(Table1433445010[[#This Row],[Course]],COURSELIST[],7,FALSE),""))</f>
        <v/>
      </c>
      <c r="T94" s="3" t="str">
        <f>IF(Table1433445010[[#This Row],[Course]]= "","",IFERROR(VLOOKUP(Table1433445010[[#This Row],[Course]],COURSELIST[],8,FALSE),""))</f>
        <v/>
      </c>
      <c r="V94" s="171"/>
      <c r="W94" s="26"/>
      <c r="X94" s="3" t="str">
        <f>IF(Table92839499[[#This Row],[Course]]= "","",IFERROR(VLOOKUP(Table92839499[[#This Row],[Course]],COURSELIST[],2,FALSE),"Course Not Found!"))</f>
        <v/>
      </c>
      <c r="Y94" s="3" t="str">
        <f>IF(Table92839499[[#This Row],[Course]]= "","",IFERROR(VLOOKUP(Table92839499[[#This Row],[Course]],COURSELIST[],3,FALSE),""))</f>
        <v/>
      </c>
      <c r="Z94" s="3" t="str">
        <f>IF(Table92839499[[#This Row],[Course]]= "","",IFERROR(VLOOKUP(Table92839499[[#This Row],[Course]],COURSELIST[],4,FALSE),""))</f>
        <v/>
      </c>
      <c r="AB94" s="3" t="str">
        <f>IF(Table92839499[[#This Row],[Course]]= "","",IFERROR(VLOOKUP(Table92839499[[#This Row],[Course]],COURSELIST[],6,FALSE),""))</f>
        <v/>
      </c>
      <c r="AC94" s="3" t="str">
        <f>IF(Table92839499[[#This Row],[Course]]= "","",IFERROR(VLOOKUP(Table92839499[[#This Row],[Course]],COURSELIST[],7,FALSE),""))</f>
        <v/>
      </c>
      <c r="AD94" s="3" t="str">
        <f>IF(Table92839499[[#This Row],[Course]]= "","",IFERROR(VLOOKUP(Table92839499[[#This Row],[Course]],COURSELIST[],8,FALSE),""))</f>
        <v/>
      </c>
      <c r="AF94" s="171"/>
      <c r="AG94" s="26"/>
      <c r="AH94" s="3" t="str">
        <f>IF(Table9283949525511[[#This Row],[Course]]= "","",IFERROR(VLOOKUP(Table9283949525511[[#This Row],[Course]],COURSELIST[],2,FALSE),"Course Not Found!"))</f>
        <v/>
      </c>
      <c r="AI94" s="3" t="str">
        <f>IF(Table9283949525511[[#This Row],[Course]]= "","",IFERROR(VLOOKUP(Table9283949525511[[#This Row],[Course]],COURSELIST[],3,FALSE),""))</f>
        <v/>
      </c>
      <c r="AJ94" s="3" t="str">
        <f>IF(Table9283949525511[[#This Row],[Course]]= "","",IFERROR(VLOOKUP(Table9283949525511[[#This Row],[Course]],COURSELIST[],4,FALSE),""))</f>
        <v/>
      </c>
      <c r="AL94" s="3" t="str">
        <f>IF(Table9283949525511[[#This Row],[Course]]= "","",IFERROR(VLOOKUP(Table9283949525511[[#This Row],[Course]],COURSELIST[],6,FALSE),""))</f>
        <v/>
      </c>
      <c r="AM94" s="3" t="str">
        <f>IF(Table9283949525511[[#This Row],[Course]]= "","",IFERROR(VLOOKUP(Table9283949525511[[#This Row],[Course]],COURSELIST[],7,FALSE),""))</f>
        <v/>
      </c>
      <c r="AN94" s="3" t="str">
        <f>IF(Table9283949525511[[#This Row],[Course]]= "","",IFERROR(VLOOKUP(Table9283949525511[[#This Row],[Course]],COURSELIST[],8,FALSE),""))</f>
        <v/>
      </c>
    </row>
    <row r="95" spans="1:40" ht="15.75" outlineLevel="1" thickBot="1">
      <c r="B95" s="171"/>
      <c r="C95" s="26"/>
      <c r="D95" s="3" t="str">
        <f>IF(Table32221488[[#This Row],[Course]]= "","",IFERROR(VLOOKUP(Table32221488[[#This Row],[Course]],COURSELIST[],2,FALSE),"Course Not Found!"))</f>
        <v/>
      </c>
      <c r="E95" s="3" t="str">
        <f>IF(Table32221488[[#This Row],[Course]]= "","",IFERROR(VLOOKUP(Table32221488[[#This Row],[Course]],COURSELIST[],3,FALSE),""))</f>
        <v/>
      </c>
      <c r="F95" s="3" t="str">
        <f>IF(Table32221488[[#This Row],[Course]]= "","",IFERROR(VLOOKUP(Table32221488[[#This Row],[Course]],COURSELIST[],4,FALSE),""))</f>
        <v/>
      </c>
      <c r="H95" s="3" t="str">
        <f>IF(Table32221488[[#This Row],[Course]]= "","",IFERROR(VLOOKUP(Table32221488[[#This Row],[Course]],COURSELIST[],6,FALSE),""))</f>
        <v/>
      </c>
      <c r="I95" s="3" t="str">
        <f>IF(Table32221488[[#This Row],[Course]]= "","",IFERROR(VLOOKUP(Table32221488[[#This Row],[Course]],COURSELIST[],7,FALSE),""))</f>
        <v/>
      </c>
      <c r="J95" s="3" t="str">
        <f>IF(Table32221488[[#This Row],[Course]]= "","",IFERROR(VLOOKUP(Table32221488[[#This Row],[Course]],COURSELIST[],8,FALSE),""))</f>
        <v/>
      </c>
      <c r="L95" s="171"/>
      <c r="M95" s="29"/>
      <c r="N95" s="3" t="str">
        <f>IF(Table1433445010[[#This Row],[Course]]= "","",IFERROR(VLOOKUP(Table1433445010[[#This Row],[Course]],COURSELIST[],2,FALSE),"Course Not Found!"))</f>
        <v/>
      </c>
      <c r="O95" s="3" t="str">
        <f>IF(Table1433445010[[#This Row],[Course]]= "","",IFERROR(VLOOKUP(Table1433445010[[#This Row],[Course]],COURSELIST[],3,FALSE),""))</f>
        <v/>
      </c>
      <c r="P95" s="3" t="str">
        <f>IF(Table1433445010[[#This Row],[Course]]= "","",IFERROR(VLOOKUP(Table1433445010[[#This Row],[Course]],COURSELIST[],4,FALSE),""))</f>
        <v/>
      </c>
      <c r="R95" s="3" t="str">
        <f>IF(Table1433445010[[#This Row],[Course]]= "","",IFERROR(VLOOKUP(Table1433445010[[#This Row],[Course]],COURSELIST[],6,FALSE),""))</f>
        <v/>
      </c>
      <c r="S95" s="3" t="str">
        <f>IF(Table1433445010[[#This Row],[Course]]= "","",IFERROR(VLOOKUP(Table1433445010[[#This Row],[Course]],COURSELIST[],7,FALSE),""))</f>
        <v/>
      </c>
      <c r="T95" s="3" t="str">
        <f>IF(Table1433445010[[#This Row],[Course]]= "","",IFERROR(VLOOKUP(Table1433445010[[#This Row],[Course]],COURSELIST[],8,FALSE),""))</f>
        <v/>
      </c>
      <c r="V95" s="171"/>
      <c r="W95" s="29"/>
      <c r="X95" s="3" t="str">
        <f>IF(Table92839499[[#This Row],[Course]]= "","",IFERROR(VLOOKUP(Table92839499[[#This Row],[Course]],COURSELIST[],2,FALSE),"Course Not Found!"))</f>
        <v/>
      </c>
      <c r="Y95" s="3" t="str">
        <f>IF(Table92839499[[#This Row],[Course]]= "","",IFERROR(VLOOKUP(Table92839499[[#This Row],[Course]],COURSELIST[],3,FALSE),""))</f>
        <v/>
      </c>
      <c r="Z95" s="3" t="str">
        <f>IF(Table92839499[[#This Row],[Course]]= "","",IFERROR(VLOOKUP(Table92839499[[#This Row],[Course]],COURSELIST[],4,FALSE),""))</f>
        <v/>
      </c>
      <c r="AB95" s="3" t="str">
        <f>IF(Table92839499[[#This Row],[Course]]= "","",IFERROR(VLOOKUP(Table92839499[[#This Row],[Course]],COURSELIST[],6,FALSE),""))</f>
        <v/>
      </c>
      <c r="AC95" s="3" t="str">
        <f>IF(Table92839499[[#This Row],[Course]]= "","",IFERROR(VLOOKUP(Table92839499[[#This Row],[Course]],COURSELIST[],7,FALSE),""))</f>
        <v/>
      </c>
      <c r="AD95" s="3" t="str">
        <f>IF(Table92839499[[#This Row],[Course]]= "","",IFERROR(VLOOKUP(Table92839499[[#This Row],[Course]],COURSELIST[],8,FALSE),""))</f>
        <v/>
      </c>
      <c r="AF95" s="171"/>
      <c r="AG95" s="29"/>
      <c r="AH95" s="3" t="str">
        <f>IF(Table9283949525511[[#This Row],[Course]]= "","",IFERROR(VLOOKUP(Table9283949525511[[#This Row],[Course]],COURSELIST[],2,FALSE),"Course Not Found!"))</f>
        <v/>
      </c>
      <c r="AI95" s="3" t="str">
        <f>IF(Table9283949525511[[#This Row],[Course]]= "","",IFERROR(VLOOKUP(Table9283949525511[[#This Row],[Course]],COURSELIST[],3,FALSE),""))</f>
        <v/>
      </c>
      <c r="AJ95" s="3" t="str">
        <f>IF(Table9283949525511[[#This Row],[Course]]= "","",IFERROR(VLOOKUP(Table9283949525511[[#This Row],[Course]],COURSELIST[],4,FALSE),""))</f>
        <v/>
      </c>
      <c r="AL95" s="3" t="str">
        <f>IF(Table9283949525511[[#This Row],[Course]]= "","",IFERROR(VLOOKUP(Table9283949525511[[#This Row],[Course]],COURSELIST[],6,FALSE),""))</f>
        <v/>
      </c>
      <c r="AM95" s="3" t="str">
        <f>IF(Table9283949525511[[#This Row],[Course]]= "","",IFERROR(VLOOKUP(Table9283949525511[[#This Row],[Course]],COURSELIST[],7,FALSE),""))</f>
        <v/>
      </c>
      <c r="AN95" s="3" t="str">
        <f>IF(Table9283949525511[[#This Row],[Course]]= "","",IFERROR(VLOOKUP(Table9283949525511[[#This Row],[Course]],COURSELIST[],8,FALSE),""))</f>
        <v/>
      </c>
    </row>
    <row r="96" spans="1:40" outlineLevel="1">
      <c r="C96" s="20"/>
      <c r="E96" s="3" t="s">
        <v>10</v>
      </c>
      <c r="F96" s="3">
        <f>SUM(F89:F95)</f>
        <v>0</v>
      </c>
      <c r="G96" s="4"/>
      <c r="I96" s="3" t="s">
        <v>27</v>
      </c>
      <c r="J96" s="4">
        <f>SUM(J89:J95)</f>
        <v>0</v>
      </c>
      <c r="O96" s="3" t="s">
        <v>10</v>
      </c>
      <c r="P96" s="3">
        <f>SUM(P89:P95)</f>
        <v>0</v>
      </c>
      <c r="S96" s="3" t="s">
        <v>27</v>
      </c>
      <c r="T96" s="3">
        <f>SUM(T89:T95)</f>
        <v>0</v>
      </c>
      <c r="Y96" s="3" t="s">
        <v>10</v>
      </c>
      <c r="Z96" s="3">
        <f>SUM(Z89:Z95)</f>
        <v>0</v>
      </c>
      <c r="AC96" s="3" t="s">
        <v>27</v>
      </c>
      <c r="AD96" s="3">
        <f>SUM(AD89:AD95)</f>
        <v>0</v>
      </c>
      <c r="AI96" s="3" t="s">
        <v>10</v>
      </c>
      <c r="AJ96" s="3">
        <f>SUM(AJ89:AJ95)</f>
        <v>0</v>
      </c>
      <c r="AM96" s="3" t="s">
        <v>27</v>
      </c>
      <c r="AN96" s="3">
        <f>SUM(AN89:AN95)</f>
        <v>0</v>
      </c>
    </row>
    <row r="97" spans="1:40" outlineLevel="1">
      <c r="C97" s="20"/>
      <c r="E97" s="3" t="s">
        <v>18</v>
      </c>
      <c r="F97" s="3">
        <f>F96+AJ83</f>
        <v>161</v>
      </c>
      <c r="G97" s="4"/>
      <c r="I97" s="3" t="s">
        <v>17</v>
      </c>
      <c r="J97" s="4">
        <f>J96+AN83</f>
        <v>238.58</v>
      </c>
      <c r="O97" s="3" t="s">
        <v>18</v>
      </c>
      <c r="P97" s="3">
        <f>P96+F97</f>
        <v>161</v>
      </c>
      <c r="S97" s="3" t="s">
        <v>17</v>
      </c>
      <c r="T97" s="3">
        <f>T96+J97</f>
        <v>238.58</v>
      </c>
      <c r="Y97" s="3" t="s">
        <v>18</v>
      </c>
      <c r="Z97" s="3">
        <f>Z96+P97</f>
        <v>161</v>
      </c>
      <c r="AC97" s="3" t="s">
        <v>17</v>
      </c>
      <c r="AD97" s="3">
        <f>AD96+T97</f>
        <v>238.58</v>
      </c>
      <c r="AI97" s="3" t="s">
        <v>18</v>
      </c>
      <c r="AJ97" s="3">
        <f>AJ96+Z97</f>
        <v>161</v>
      </c>
      <c r="AM97" s="3" t="s">
        <v>17</v>
      </c>
      <c r="AN97" s="3">
        <f>AN96+AD97</f>
        <v>238.58</v>
      </c>
    </row>
    <row r="98" spans="1:40" outlineLevel="1">
      <c r="C98" s="20"/>
      <c r="E98" s="5" t="s">
        <v>19</v>
      </c>
      <c r="F98" s="5">
        <f>F96+AJ84</f>
        <v>150</v>
      </c>
      <c r="G98" s="25"/>
      <c r="I98" s="3" t="s">
        <v>14</v>
      </c>
      <c r="J98" s="4" t="e">
        <f>J96/F96</f>
        <v>#DIV/0!</v>
      </c>
      <c r="O98" s="5" t="s">
        <v>19</v>
      </c>
      <c r="P98" s="5">
        <f>P96+F98</f>
        <v>150</v>
      </c>
      <c r="Q98" s="5"/>
      <c r="S98" s="3" t="s">
        <v>14</v>
      </c>
      <c r="T98" s="3" t="e">
        <f>T96/P96</f>
        <v>#DIV/0!</v>
      </c>
      <c r="W98" s="5"/>
      <c r="X98" s="5"/>
      <c r="Y98" s="5" t="s">
        <v>19</v>
      </c>
      <c r="Z98" s="5">
        <f>Z96+P98</f>
        <v>150</v>
      </c>
      <c r="AA98" s="5"/>
      <c r="AC98" s="3" t="s">
        <v>14</v>
      </c>
      <c r="AD98" s="3" t="e">
        <f>AD96/Z96</f>
        <v>#DIV/0!</v>
      </c>
      <c r="AG98" s="5"/>
      <c r="AH98" s="5"/>
      <c r="AI98" s="5" t="s">
        <v>19</v>
      </c>
      <c r="AJ98" s="5">
        <f>AJ96+Z98</f>
        <v>150</v>
      </c>
      <c r="AK98" s="5"/>
      <c r="AM98" s="3" t="s">
        <v>14</v>
      </c>
      <c r="AN98" s="3" t="e">
        <f>AN96/AJ96</f>
        <v>#DIV/0!</v>
      </c>
    </row>
    <row r="99" spans="1:40" ht="21.75" outlineLevel="1" thickBot="1">
      <c r="C99" s="20"/>
      <c r="G99" s="4"/>
      <c r="H99" s="24"/>
      <c r="I99" s="5" t="s">
        <v>16</v>
      </c>
      <c r="J99" s="25">
        <f>J97/F98</f>
        <v>1.5905333333333334</v>
      </c>
      <c r="M99" s="5"/>
      <c r="N99" s="5"/>
      <c r="S99" s="5" t="s">
        <v>16</v>
      </c>
      <c r="T99" s="5">
        <f>T97/P98</f>
        <v>1.5905333333333334</v>
      </c>
      <c r="AC99" s="5" t="s">
        <v>16</v>
      </c>
      <c r="AD99" s="5">
        <f>AD97/Z98</f>
        <v>1.5905333333333334</v>
      </c>
      <c r="AM99" s="5" t="s">
        <v>16</v>
      </c>
      <c r="AN99" s="5">
        <f>AN97/AJ98</f>
        <v>1.5905333333333334</v>
      </c>
    </row>
    <row r="100" spans="1:40" ht="21.75" thickBot="1">
      <c r="A100" s="89" t="s">
        <v>606</v>
      </c>
      <c r="D100" s="98"/>
      <c r="J100" s="24"/>
    </row>
    <row r="101" spans="1:40" ht="23.25" customHeight="1" outlineLevel="1" thickBot="1">
      <c r="B101" s="171" t="s">
        <v>607</v>
      </c>
      <c r="C101" s="179" t="s">
        <v>604</v>
      </c>
      <c r="D101" s="180"/>
      <c r="E101" s="181"/>
      <c r="F101" s="164" t="str">
        <f>GradeStatus(Z97)&amp;"--"&amp;Z97&amp;" Credits "&amp;F112&amp;" In Progress"</f>
        <v>Senior--161 Credits 150 In Progress</v>
      </c>
      <c r="G101" s="165"/>
      <c r="H101" s="165"/>
      <c r="I101" s="165"/>
      <c r="J101" s="165"/>
      <c r="L101" s="171" t="s">
        <v>94</v>
      </c>
      <c r="M101" s="175" t="s">
        <v>601</v>
      </c>
      <c r="N101" s="176"/>
      <c r="O101" s="177"/>
      <c r="P101" s="166" t="str">
        <f>GradeStatus(F112)&amp;"--"&amp;F112&amp;" Credits "&amp;P112&amp;" In Progress"</f>
        <v>Senior--150 Credits 150 In Progress</v>
      </c>
      <c r="Q101" s="167"/>
      <c r="R101" s="167"/>
      <c r="S101" s="167"/>
      <c r="T101" s="167"/>
      <c r="V101" s="171" t="s">
        <v>95</v>
      </c>
      <c r="W101" s="168" t="s">
        <v>600</v>
      </c>
      <c r="X101" s="169"/>
      <c r="Y101" s="170"/>
      <c r="Z101" s="162" t="str">
        <f>GradeStatus(P112)&amp;"--"&amp;P112&amp;" Credits "&amp;Z112&amp;" In Progress"</f>
        <v>Senior--150 Credits 150 In Progress</v>
      </c>
      <c r="AA101" s="163"/>
      <c r="AB101" s="163"/>
      <c r="AC101" s="163"/>
      <c r="AD101" s="163"/>
      <c r="AF101" s="171" t="s">
        <v>96</v>
      </c>
      <c r="AG101" s="172" t="s">
        <v>599</v>
      </c>
      <c r="AH101" s="173"/>
      <c r="AI101" s="174"/>
      <c r="AJ101" s="160" t="str">
        <f>GradeStatus(Z111)&amp;"--"&amp;Z111&amp;" Credits "&amp;AJ111&amp;" In Progress"</f>
        <v>Senior--161 Credits 161 In Progress</v>
      </c>
      <c r="AK101" s="161"/>
      <c r="AL101" s="161"/>
      <c r="AM101" s="161"/>
      <c r="AN101" s="161"/>
    </row>
    <row r="102" spans="1:40" ht="15.75" outlineLevel="1" thickBot="1">
      <c r="B102" s="171"/>
      <c r="C102" s="3" t="s">
        <v>20</v>
      </c>
      <c r="D102" s="3" t="s">
        <v>24</v>
      </c>
      <c r="E102" s="3" t="s">
        <v>25</v>
      </c>
      <c r="F102" s="3" t="s">
        <v>10</v>
      </c>
      <c r="G102" s="3" t="s">
        <v>26</v>
      </c>
      <c r="H102" s="3" t="s">
        <v>12</v>
      </c>
      <c r="I102" s="3" t="s">
        <v>36</v>
      </c>
      <c r="J102" s="3" t="s">
        <v>28</v>
      </c>
      <c r="L102" s="171"/>
      <c r="M102" s="3" t="s">
        <v>20</v>
      </c>
      <c r="N102" s="3" t="s">
        <v>24</v>
      </c>
      <c r="O102" s="3" t="s">
        <v>25</v>
      </c>
      <c r="P102" s="3" t="s">
        <v>10</v>
      </c>
      <c r="Q102" s="3" t="s">
        <v>26</v>
      </c>
      <c r="R102" s="3" t="s">
        <v>12</v>
      </c>
      <c r="S102" s="3" t="s">
        <v>36</v>
      </c>
      <c r="T102" s="3" t="s">
        <v>28</v>
      </c>
      <c r="V102" s="171"/>
      <c r="W102" s="3" t="s">
        <v>20</v>
      </c>
      <c r="X102" s="3" t="s">
        <v>24</v>
      </c>
      <c r="Y102" s="3" t="s">
        <v>25</v>
      </c>
      <c r="Z102" s="3" t="s">
        <v>10</v>
      </c>
      <c r="AA102" s="3" t="s">
        <v>26</v>
      </c>
      <c r="AB102" s="3" t="s">
        <v>12</v>
      </c>
      <c r="AC102" s="3" t="s">
        <v>36</v>
      </c>
      <c r="AD102" s="3" t="s">
        <v>28</v>
      </c>
      <c r="AF102" s="171"/>
      <c r="AG102" s="3" t="s">
        <v>20</v>
      </c>
      <c r="AH102" s="3" t="s">
        <v>24</v>
      </c>
      <c r="AI102" s="3" t="s">
        <v>25</v>
      </c>
      <c r="AJ102" s="3" t="s">
        <v>10</v>
      </c>
      <c r="AK102" s="3" t="s">
        <v>26</v>
      </c>
      <c r="AL102" s="3" t="s">
        <v>12</v>
      </c>
      <c r="AM102" s="3" t="s">
        <v>36</v>
      </c>
      <c r="AN102" s="3" t="s">
        <v>28</v>
      </c>
    </row>
    <row r="103" spans="1:40" ht="15.75" outlineLevel="1" thickBot="1">
      <c r="B103" s="171"/>
      <c r="C103" s="101"/>
      <c r="D103" s="3" t="str">
        <f>IF(Table322214812[[#This Row],[Course]]= "","",IFERROR(VLOOKUP(Table322214812[[#This Row],[Course]],COURSELIST[],2,FALSE),"Course Not Found!"))</f>
        <v/>
      </c>
      <c r="E103" s="3" t="str">
        <f>IF(Table322214812[[#This Row],[Course]]= "","",IFERROR(VLOOKUP(Table322214812[[#This Row],[Course]],COURSELIST[],3,FALSE),""))</f>
        <v/>
      </c>
      <c r="F103" s="3" t="str">
        <f>IF(Table322214812[[#This Row],[Course]]= "","",IFERROR(VLOOKUP(Table322214812[[#This Row],[Course]],COURSELIST[],4,FALSE),""))</f>
        <v/>
      </c>
      <c r="H103" s="3" t="str">
        <f>IF(Table322214812[[#This Row],[Course]]= "","",IFERROR(VLOOKUP(Table322214812[[#This Row],[Course]],COURSELIST[],6,FALSE),""))</f>
        <v/>
      </c>
      <c r="I103" s="3" t="str">
        <f>IF(Table322214812[[#This Row],[Course]]= "","",IFERROR(VLOOKUP(Table322214812[[#This Row],[Course]],COURSELIST[],7,FALSE),""))</f>
        <v/>
      </c>
      <c r="J103" s="3" t="str">
        <f>IF(Table322214812[[#This Row],[Course]]= "","",IFERROR(VLOOKUP(Table322214812[[#This Row],[Course]],COURSELIST[],8,FALSE),""))</f>
        <v/>
      </c>
      <c r="L103" s="171"/>
      <c r="M103" s="28"/>
      <c r="N103" s="3" t="str">
        <f>IF(Table1433445014[[#This Row],[Course]]= "","",IFERROR(VLOOKUP(Table1433445014[[#This Row],[Course]],COURSELIST[],2,FALSE),"Course Not Found!"))</f>
        <v/>
      </c>
      <c r="O103" s="3" t="str">
        <f>IF(Table1433445014[[#This Row],[Course]]= "","",IFERROR(VLOOKUP(Table1433445014[[#This Row],[Course]],COURSELIST[],3,FALSE),""))</f>
        <v/>
      </c>
      <c r="P103" s="3" t="str">
        <f>IF(Table1433445014[[#This Row],[Course]]= "","",IFERROR(VLOOKUP(Table1433445014[[#This Row],[Course]],COURSELIST[],4,FALSE),""))</f>
        <v/>
      </c>
      <c r="R103" s="3" t="str">
        <f>IF(Table1433445014[[#This Row],[Course]]= "","",IFERROR(VLOOKUP(Table1433445014[[#This Row],[Course]],COURSELIST[],6,FALSE),""))</f>
        <v/>
      </c>
      <c r="S103" s="3" t="str">
        <f>IF(Table1433445014[[#This Row],[Course]]= "","",IFERROR(VLOOKUP(Table1433445014[[#This Row],[Course]],COURSELIST[],7,FALSE),""))</f>
        <v/>
      </c>
      <c r="T103" s="3" t="str">
        <f>IF(Table1433445014[[#This Row],[Course]]= "","",IFERROR(VLOOKUP(Table1433445014[[#This Row],[Course]],COURSELIST[],8,FALSE),""))</f>
        <v/>
      </c>
      <c r="V103" s="171"/>
      <c r="W103" s="26"/>
      <c r="X103" s="3" t="str">
        <f>IF(Table928394913[[#This Row],[Course]]= "","",IFERROR(VLOOKUP(Table928394913[[#This Row],[Course]],COURSELIST[],2,FALSE),"Course Not Found!"))</f>
        <v/>
      </c>
      <c r="Y103" s="3" t="str">
        <f>IF(Table928394913[[#This Row],[Course]]= "","",IFERROR(VLOOKUP(Table928394913[[#This Row],[Course]],COURSELIST[],3,FALSE),""))</f>
        <v/>
      </c>
      <c r="Z103" s="3" t="str">
        <f>IF(Table928394913[[#This Row],[Course]]= "","",IFERROR(VLOOKUP(Table928394913[[#This Row],[Course]],COURSELIST[],4,FALSE),""))</f>
        <v/>
      </c>
      <c r="AB103" s="3" t="str">
        <f>IF(Table928394913[[#This Row],[Course]]= "","",IFERROR(VLOOKUP(Table928394913[[#This Row],[Course]],COURSELIST[],6,FALSE),""))</f>
        <v/>
      </c>
      <c r="AC103" s="3" t="str">
        <f>IF(Table928394913[[#This Row],[Course]]= "","",IFERROR(VLOOKUP(Table928394913[[#This Row],[Course]],COURSELIST[],7,FALSE),""))</f>
        <v/>
      </c>
      <c r="AD103" s="3" t="str">
        <f>IF(Table928394913[[#This Row],[Course]]= "","",IFERROR(VLOOKUP(Table928394913[[#This Row],[Course]],COURSELIST[],8,FALSE),""))</f>
        <v/>
      </c>
      <c r="AF103" s="171"/>
      <c r="AG103" s="26"/>
      <c r="AH103" s="3" t="str">
        <f>IF(Table9283949525515[[#This Row],[Course]]= "","",IFERROR(VLOOKUP(Table9283949525515[[#This Row],[Course]],COURSELIST[],2,FALSE),"Course Not Found!"))</f>
        <v/>
      </c>
      <c r="AI103" s="3" t="str">
        <f>IF(Table9283949525515[[#This Row],[Course]]= "","",IFERROR(VLOOKUP(Table9283949525515[[#This Row],[Course]],COURSELIST[],3,FALSE),""))</f>
        <v/>
      </c>
      <c r="AJ103" s="3" t="str">
        <f>IF(Table9283949525515[[#This Row],[Course]]= "","",IFERROR(VLOOKUP(Table9283949525515[[#This Row],[Course]],COURSELIST[],4,FALSE),""))</f>
        <v/>
      </c>
      <c r="AL103" s="3" t="str">
        <f>IF(Table9283949525515[[#This Row],[Course]]= "","",IFERROR(VLOOKUP(Table9283949525515[[#This Row],[Course]],COURSELIST[],6,FALSE),""))</f>
        <v/>
      </c>
      <c r="AM103" s="3" t="str">
        <f>IF(Table9283949525515[[#This Row],[Course]]= "","",IFERROR(VLOOKUP(Table9283949525515[[#This Row],[Course]],COURSELIST[],7,FALSE),""))</f>
        <v/>
      </c>
      <c r="AN103" s="3" t="str">
        <f>IF(Table9283949525515[[#This Row],[Course]]= "","",IFERROR(VLOOKUP(Table9283949525515[[#This Row],[Course]],COURSELIST[],8,FALSE),""))</f>
        <v/>
      </c>
    </row>
    <row r="104" spans="1:40" ht="15.75" outlineLevel="1" thickBot="1">
      <c r="B104" s="171"/>
      <c r="C104" s="100"/>
      <c r="D104" s="3" t="str">
        <f>IF(Table322214812[[#This Row],[Course]]= "","",IFERROR(VLOOKUP(Table322214812[[#This Row],[Course]],COURSELIST[],2,FALSE),"Course Not Found!"))</f>
        <v/>
      </c>
      <c r="E104" s="3" t="str">
        <f>IF(Table322214812[[#This Row],[Course]]= "","",IFERROR(VLOOKUP(Table322214812[[#This Row],[Course]],COURSELIST[],3,FALSE),""))</f>
        <v/>
      </c>
      <c r="F104" s="3" t="str">
        <f>IF(Table322214812[[#This Row],[Course]]= "","",IFERROR(VLOOKUP(Table322214812[[#This Row],[Course]],COURSELIST[],4,FALSE),""))</f>
        <v/>
      </c>
      <c r="H104" s="3" t="str">
        <f>IF(Table322214812[[#This Row],[Course]]= "","",IFERROR(VLOOKUP(Table322214812[[#This Row],[Course]],COURSELIST[],6,FALSE),""))</f>
        <v/>
      </c>
      <c r="I104" s="3" t="str">
        <f>IF(Table322214812[[#This Row],[Course]]= "","",IFERROR(VLOOKUP(Table322214812[[#This Row],[Course]],COURSELIST[],7,FALSE),""))</f>
        <v/>
      </c>
      <c r="J104" s="3" t="str">
        <f>IF(Table322214812[[#This Row],[Course]]= "","",IFERROR(VLOOKUP(Table322214812[[#This Row],[Course]],COURSELIST[],8,FALSE),""))</f>
        <v/>
      </c>
      <c r="K104" s="5"/>
      <c r="L104" s="171"/>
      <c r="M104" s="26"/>
      <c r="N104" s="3" t="str">
        <f>IF(Table1433445014[[#This Row],[Course]]= "","",IFERROR(VLOOKUP(Table1433445014[[#This Row],[Course]],COURSELIST[],2,FALSE),"Course Not Found!"))</f>
        <v/>
      </c>
      <c r="O104" s="3" t="str">
        <f>IF(Table1433445014[[#This Row],[Course]]= "","",IFERROR(VLOOKUP(Table1433445014[[#This Row],[Course]],COURSELIST[],3,FALSE),""))</f>
        <v/>
      </c>
      <c r="P104" s="3" t="str">
        <f>IF(Table1433445014[[#This Row],[Course]]= "","",IFERROR(VLOOKUP(Table1433445014[[#This Row],[Course]],COURSELIST[],4,FALSE),""))</f>
        <v/>
      </c>
      <c r="R104" s="3" t="str">
        <f>IF(Table1433445014[[#This Row],[Course]]= "","",IFERROR(VLOOKUP(Table1433445014[[#This Row],[Course]],COURSELIST[],6,FALSE),""))</f>
        <v/>
      </c>
      <c r="S104" s="3" t="str">
        <f>IF(Table1433445014[[#This Row],[Course]]= "","",IFERROR(VLOOKUP(Table1433445014[[#This Row],[Course]],COURSELIST[],7,FALSE),""))</f>
        <v/>
      </c>
      <c r="T104" s="3" t="str">
        <f>IF(Table1433445014[[#This Row],[Course]]= "","",IFERROR(VLOOKUP(Table1433445014[[#This Row],[Course]],COURSELIST[],8,FALSE),""))</f>
        <v/>
      </c>
      <c r="U104" s="5"/>
      <c r="V104" s="171"/>
      <c r="W104" s="26"/>
      <c r="X104" s="3" t="str">
        <f>IF(Table928394913[[#This Row],[Course]]= "","",IFERROR(VLOOKUP(Table928394913[[#This Row],[Course]],COURSELIST[],2,FALSE),"Course Not Found!"))</f>
        <v/>
      </c>
      <c r="Y104" s="3" t="str">
        <f>IF(Table928394913[[#This Row],[Course]]= "","",IFERROR(VLOOKUP(Table928394913[[#This Row],[Course]],COURSELIST[],3,FALSE),""))</f>
        <v/>
      </c>
      <c r="Z104" s="3" t="str">
        <f>IF(Table928394913[[#This Row],[Course]]= "","",IFERROR(VLOOKUP(Table928394913[[#This Row],[Course]],COURSELIST[],4,FALSE),""))</f>
        <v/>
      </c>
      <c r="AB104" s="3" t="str">
        <f>IF(Table928394913[[#This Row],[Course]]= "","",IFERROR(VLOOKUP(Table928394913[[#This Row],[Course]],COURSELIST[],6,FALSE),""))</f>
        <v/>
      </c>
      <c r="AC104" s="3" t="str">
        <f>IF(Table928394913[[#This Row],[Course]]= "","",IFERROR(VLOOKUP(Table928394913[[#This Row],[Course]],COURSELIST[],7,FALSE),""))</f>
        <v/>
      </c>
      <c r="AD104" s="3" t="str">
        <f>IF(Table928394913[[#This Row],[Course]]= "","",IFERROR(VLOOKUP(Table928394913[[#This Row],[Course]],COURSELIST[],8,FALSE),""))</f>
        <v/>
      </c>
      <c r="AF104" s="171"/>
      <c r="AG104" s="26"/>
      <c r="AH104" s="3" t="str">
        <f>IF(Table9283949525515[[#This Row],[Course]]= "","",IFERROR(VLOOKUP(Table9283949525515[[#This Row],[Course]],COURSELIST[],2,FALSE),"Course Not Found!"))</f>
        <v/>
      </c>
      <c r="AI104" s="3" t="str">
        <f>IF(Table9283949525515[[#This Row],[Course]]= "","",IFERROR(VLOOKUP(Table9283949525515[[#This Row],[Course]],COURSELIST[],3,FALSE),""))</f>
        <v/>
      </c>
      <c r="AJ104" s="3" t="str">
        <f>IF(Table9283949525515[[#This Row],[Course]]= "","",IFERROR(VLOOKUP(Table9283949525515[[#This Row],[Course]],COURSELIST[],4,FALSE),""))</f>
        <v/>
      </c>
      <c r="AL104" s="3" t="str">
        <f>IF(Table9283949525515[[#This Row],[Course]]= "","",IFERROR(VLOOKUP(Table9283949525515[[#This Row],[Course]],COURSELIST[],6,FALSE),""))</f>
        <v/>
      </c>
      <c r="AM104" s="3" t="str">
        <f>IF(Table9283949525515[[#This Row],[Course]]= "","",IFERROR(VLOOKUP(Table9283949525515[[#This Row],[Course]],COURSELIST[],7,FALSE),""))</f>
        <v/>
      </c>
      <c r="AN104" s="3" t="str">
        <f>IF(Table9283949525515[[#This Row],[Course]]= "","",IFERROR(VLOOKUP(Table9283949525515[[#This Row],[Course]],COURSELIST[],8,FALSE),""))</f>
        <v/>
      </c>
    </row>
    <row r="105" spans="1:40" ht="15.75" outlineLevel="1" thickBot="1">
      <c r="B105" s="171"/>
      <c r="C105" s="100"/>
      <c r="D105" s="3" t="str">
        <f>IF(Table322214812[[#This Row],[Course]]= "","",IFERROR(VLOOKUP(Table322214812[[#This Row],[Course]],COURSELIST[],2,FALSE),"Course Not Found!"))</f>
        <v/>
      </c>
      <c r="E105" s="3" t="str">
        <f>IF(Table322214812[[#This Row],[Course]]= "","",IFERROR(VLOOKUP(Table322214812[[#This Row],[Course]],COURSELIST[],3,FALSE),""))</f>
        <v/>
      </c>
      <c r="F105" s="3" t="str">
        <f>IF(Table322214812[[#This Row],[Course]]= "","",IFERROR(VLOOKUP(Table322214812[[#This Row],[Course]],COURSELIST[],4,FALSE),""))</f>
        <v/>
      </c>
      <c r="H105" s="3" t="str">
        <f>IF(Table322214812[[#This Row],[Course]]= "","",IFERROR(VLOOKUP(Table322214812[[#This Row],[Course]],COURSELIST[],6,FALSE),""))</f>
        <v/>
      </c>
      <c r="I105" s="3" t="str">
        <f>IF(Table322214812[[#This Row],[Course]]= "","",IFERROR(VLOOKUP(Table322214812[[#This Row],[Course]],COURSELIST[],7,FALSE),""))</f>
        <v/>
      </c>
      <c r="J105" s="3" t="str">
        <f>IF(Table322214812[[#This Row],[Course]]= "","",IFERROR(VLOOKUP(Table322214812[[#This Row],[Course]],COURSELIST[],8,FALSE),""))</f>
        <v/>
      </c>
      <c r="L105" s="171"/>
      <c r="M105" s="26"/>
      <c r="N105" s="3" t="str">
        <f>IF(Table1433445014[[#This Row],[Course]]= "","",IFERROR(VLOOKUP(Table1433445014[[#This Row],[Course]],COURSELIST[],2,FALSE),"Course Not Found!"))</f>
        <v/>
      </c>
      <c r="O105" s="3" t="str">
        <f>IF(Table1433445014[[#This Row],[Course]]= "","",IFERROR(VLOOKUP(Table1433445014[[#This Row],[Course]],COURSELIST[],3,FALSE),""))</f>
        <v/>
      </c>
      <c r="P105" s="3" t="str">
        <f>IF(Table1433445014[[#This Row],[Course]]= "","",IFERROR(VLOOKUP(Table1433445014[[#This Row],[Course]],COURSELIST[],4,FALSE),""))</f>
        <v/>
      </c>
      <c r="R105" s="3" t="str">
        <f>IF(Table1433445014[[#This Row],[Course]]= "","",IFERROR(VLOOKUP(Table1433445014[[#This Row],[Course]],COURSELIST[],6,FALSE),""))</f>
        <v/>
      </c>
      <c r="S105" s="3" t="str">
        <f>IF(Table1433445014[[#This Row],[Course]]= "","",IFERROR(VLOOKUP(Table1433445014[[#This Row],[Course]],COURSELIST[],7,FALSE),""))</f>
        <v/>
      </c>
      <c r="T105" s="3" t="str">
        <f>IF(Table1433445014[[#This Row],[Course]]= "","",IFERROR(VLOOKUP(Table1433445014[[#This Row],[Course]],COURSELIST[],8,FALSE),""))</f>
        <v/>
      </c>
      <c r="V105" s="171"/>
      <c r="W105" s="17"/>
      <c r="X105" s="3" t="str">
        <f>IF(Table928394913[[#This Row],[Course]]= "","",IFERROR(VLOOKUP(Table928394913[[#This Row],[Course]],COURSELIST[],2,FALSE),"Course Not Found!"))</f>
        <v/>
      </c>
      <c r="Y105" s="3" t="str">
        <f>IF(Table928394913[[#This Row],[Course]]= "","",IFERROR(VLOOKUP(Table928394913[[#This Row],[Course]],COURSELIST[],3,FALSE),""))</f>
        <v/>
      </c>
      <c r="Z105" s="3" t="str">
        <f>IF(Table928394913[[#This Row],[Course]]= "","",IFERROR(VLOOKUP(Table928394913[[#This Row],[Course]],COURSELIST[],4,FALSE),""))</f>
        <v/>
      </c>
      <c r="AB105" s="3" t="str">
        <f>IF(Table928394913[[#This Row],[Course]]= "","",IFERROR(VLOOKUP(Table928394913[[#This Row],[Course]],COURSELIST[],6,FALSE),""))</f>
        <v/>
      </c>
      <c r="AC105" s="3" t="str">
        <f>IF(Table928394913[[#This Row],[Course]]= "","",IFERROR(VLOOKUP(Table928394913[[#This Row],[Course]],COURSELIST[],7,FALSE),""))</f>
        <v/>
      </c>
      <c r="AD105" s="3" t="str">
        <f>IF(Table928394913[[#This Row],[Course]]= "","",IFERROR(VLOOKUP(Table928394913[[#This Row],[Course]],COURSELIST[],8,FALSE),""))</f>
        <v/>
      </c>
      <c r="AF105" s="171"/>
      <c r="AG105" s="17"/>
      <c r="AH105" s="3" t="str">
        <f>IF(Table9283949525515[[#This Row],[Course]]= "","",IFERROR(VLOOKUP(Table9283949525515[[#This Row],[Course]],COURSELIST[],2,FALSE),"Course Not Found!"))</f>
        <v/>
      </c>
      <c r="AI105" s="3" t="str">
        <f>IF(Table9283949525515[[#This Row],[Course]]= "","",IFERROR(VLOOKUP(Table9283949525515[[#This Row],[Course]],COURSELIST[],3,FALSE),""))</f>
        <v/>
      </c>
      <c r="AJ105" s="3" t="str">
        <f>IF(Table9283949525515[[#This Row],[Course]]= "","",IFERROR(VLOOKUP(Table9283949525515[[#This Row],[Course]],COURSELIST[],4,FALSE),""))</f>
        <v/>
      </c>
      <c r="AL105" s="3" t="str">
        <f>IF(Table9283949525515[[#This Row],[Course]]= "","",IFERROR(VLOOKUP(Table9283949525515[[#This Row],[Course]],COURSELIST[],6,FALSE),""))</f>
        <v/>
      </c>
      <c r="AM105" s="3" t="str">
        <f>IF(Table9283949525515[[#This Row],[Course]]= "","",IFERROR(VLOOKUP(Table9283949525515[[#This Row],[Course]],COURSELIST[],7,FALSE),""))</f>
        <v/>
      </c>
      <c r="AN105" s="3" t="str">
        <f>IF(Table9283949525515[[#This Row],[Course]]= "","",IFERROR(VLOOKUP(Table9283949525515[[#This Row],[Course]],COURSELIST[],8,FALSE),""))</f>
        <v/>
      </c>
    </row>
    <row r="106" spans="1:40" ht="15.75" outlineLevel="1" thickBot="1">
      <c r="B106" s="171"/>
      <c r="C106" s="100"/>
      <c r="D106" s="3" t="str">
        <f>IF(Table322214812[[#This Row],[Course]]= "","",IFERROR(VLOOKUP(Table322214812[[#This Row],[Course]],COURSELIST[],2,FALSE),"Course Not Found!"))</f>
        <v/>
      </c>
      <c r="E106" s="3" t="str">
        <f>IF(Table322214812[[#This Row],[Course]]= "","",IFERROR(VLOOKUP(Table322214812[[#This Row],[Course]],COURSELIST[],3,FALSE),""))</f>
        <v/>
      </c>
      <c r="F106" s="3" t="str">
        <f>IF(Table322214812[[#This Row],[Course]]= "","",IFERROR(VLOOKUP(Table322214812[[#This Row],[Course]],COURSELIST[],4,FALSE),""))</f>
        <v/>
      </c>
      <c r="H106" s="3" t="str">
        <f>IF(Table322214812[[#This Row],[Course]]= "","",IFERROR(VLOOKUP(Table322214812[[#This Row],[Course]],COURSELIST[],6,FALSE),""))</f>
        <v/>
      </c>
      <c r="I106" s="3" t="str">
        <f>IF(Table322214812[[#This Row],[Course]]= "","",IFERROR(VLOOKUP(Table322214812[[#This Row],[Course]],COURSELIST[],7,FALSE),""))</f>
        <v/>
      </c>
      <c r="J106" s="3" t="str">
        <f>IF(Table322214812[[#This Row],[Course]]= "","",IFERROR(VLOOKUP(Table322214812[[#This Row],[Course]],COURSELIST[],8,FALSE),""))</f>
        <v/>
      </c>
      <c r="L106" s="171"/>
      <c r="M106" s="26"/>
      <c r="N106" s="3" t="str">
        <f>IF(Table1433445014[[#This Row],[Course]]= "","",IFERROR(VLOOKUP(Table1433445014[[#This Row],[Course]],COURSELIST[],2,FALSE),"Course Not Found!"))</f>
        <v/>
      </c>
      <c r="O106" s="3" t="str">
        <f>IF(Table1433445014[[#This Row],[Course]]= "","",IFERROR(VLOOKUP(Table1433445014[[#This Row],[Course]],COURSELIST[],3,FALSE),""))</f>
        <v/>
      </c>
      <c r="P106" s="3" t="str">
        <f>IF(Table1433445014[[#This Row],[Course]]= "","",IFERROR(VLOOKUP(Table1433445014[[#This Row],[Course]],COURSELIST[],4,FALSE),""))</f>
        <v/>
      </c>
      <c r="R106" s="3" t="str">
        <f>IF(Table1433445014[[#This Row],[Course]]= "","",IFERROR(VLOOKUP(Table1433445014[[#This Row],[Course]],COURSELIST[],6,FALSE),""))</f>
        <v/>
      </c>
      <c r="S106" s="3" t="str">
        <f>IF(Table1433445014[[#This Row],[Course]]= "","",IFERROR(VLOOKUP(Table1433445014[[#This Row],[Course]],COURSELIST[],7,FALSE),""))</f>
        <v/>
      </c>
      <c r="T106" s="3" t="str">
        <f>IF(Table1433445014[[#This Row],[Course]]= "","",IFERROR(VLOOKUP(Table1433445014[[#This Row],[Course]],COURSELIST[],8,FALSE),""))</f>
        <v/>
      </c>
      <c r="V106" s="171"/>
      <c r="W106" s="17"/>
      <c r="X106" s="3" t="str">
        <f>IF(Table928394913[[#This Row],[Course]]= "","",IFERROR(VLOOKUP(Table928394913[[#This Row],[Course]],COURSELIST[],2,FALSE),"Course Not Found!"))</f>
        <v/>
      </c>
      <c r="Y106" s="3" t="str">
        <f>IF(Table928394913[[#This Row],[Course]]= "","",IFERROR(VLOOKUP(Table928394913[[#This Row],[Course]],COURSELIST[],3,FALSE),""))</f>
        <v/>
      </c>
      <c r="Z106" s="3" t="str">
        <f>IF(Table928394913[[#This Row],[Course]]= "","",IFERROR(VLOOKUP(Table928394913[[#This Row],[Course]],COURSELIST[],4,FALSE),""))</f>
        <v/>
      </c>
      <c r="AB106" s="3" t="str">
        <f>IF(Table928394913[[#This Row],[Course]]= "","",IFERROR(VLOOKUP(Table928394913[[#This Row],[Course]],COURSELIST[],6,FALSE),""))</f>
        <v/>
      </c>
      <c r="AC106" s="3" t="str">
        <f>IF(Table928394913[[#This Row],[Course]]= "","",IFERROR(VLOOKUP(Table928394913[[#This Row],[Course]],COURSELIST[],7,FALSE),""))</f>
        <v/>
      </c>
      <c r="AD106" s="3" t="str">
        <f>IF(Table928394913[[#This Row],[Course]]= "","",IFERROR(VLOOKUP(Table928394913[[#This Row],[Course]],COURSELIST[],8,FALSE),""))</f>
        <v/>
      </c>
      <c r="AF106" s="171"/>
      <c r="AG106" s="17"/>
      <c r="AH106" s="3" t="str">
        <f>IF(Table9283949525515[[#This Row],[Course]]= "","",IFERROR(VLOOKUP(Table9283949525515[[#This Row],[Course]],COURSELIST[],2,FALSE),"Course Not Found!"))</f>
        <v/>
      </c>
      <c r="AI106" s="3" t="str">
        <f>IF(Table9283949525515[[#This Row],[Course]]= "","",IFERROR(VLOOKUP(Table9283949525515[[#This Row],[Course]],COURSELIST[],3,FALSE),""))</f>
        <v/>
      </c>
      <c r="AJ106" s="3" t="str">
        <f>IF(Table9283949525515[[#This Row],[Course]]= "","",IFERROR(VLOOKUP(Table9283949525515[[#This Row],[Course]],COURSELIST[],4,FALSE),""))</f>
        <v/>
      </c>
      <c r="AL106" s="3" t="str">
        <f>IF(Table9283949525515[[#This Row],[Course]]= "","",IFERROR(VLOOKUP(Table9283949525515[[#This Row],[Course]],COURSELIST[],6,FALSE),""))</f>
        <v/>
      </c>
      <c r="AM106" s="3" t="str">
        <f>IF(Table9283949525515[[#This Row],[Course]]= "","",IFERROR(VLOOKUP(Table9283949525515[[#This Row],[Course]],COURSELIST[],7,FALSE),""))</f>
        <v/>
      </c>
      <c r="AN106" s="3" t="str">
        <f>IF(Table9283949525515[[#This Row],[Course]]= "","",IFERROR(VLOOKUP(Table9283949525515[[#This Row],[Course]],COURSELIST[],8,FALSE),""))</f>
        <v/>
      </c>
    </row>
    <row r="107" spans="1:40" ht="15.75" outlineLevel="1" thickBot="1">
      <c r="B107" s="171"/>
      <c r="C107" s="100"/>
      <c r="D107" s="3" t="str">
        <f>IF(Table322214812[[#This Row],[Course]]= "","",IFERROR(VLOOKUP(Table322214812[[#This Row],[Course]],COURSELIST[],2,FALSE),"Course Not Found!"))</f>
        <v/>
      </c>
      <c r="E107" s="3" t="str">
        <f>IF(Table322214812[[#This Row],[Course]]= "","",IFERROR(VLOOKUP(Table322214812[[#This Row],[Course]],COURSELIST[],3,FALSE),""))</f>
        <v/>
      </c>
      <c r="F107" s="3" t="str">
        <f>IF(Table322214812[[#This Row],[Course]]= "","",IFERROR(VLOOKUP(Table322214812[[#This Row],[Course]],COURSELIST[],4,FALSE),""))</f>
        <v/>
      </c>
      <c r="H107" s="3" t="str">
        <f>IF(Table322214812[[#This Row],[Course]]= "","",IFERROR(VLOOKUP(Table322214812[[#This Row],[Course]],COURSELIST[],6,FALSE),""))</f>
        <v/>
      </c>
      <c r="I107" s="3" t="str">
        <f>IF(Table322214812[[#This Row],[Course]]= "","",IFERROR(VLOOKUP(Table322214812[[#This Row],[Course]],COURSELIST[],7,FALSE),""))</f>
        <v/>
      </c>
      <c r="J107" s="3" t="str">
        <f>IF(Table322214812[[#This Row],[Course]]= "","",IFERROR(VLOOKUP(Table322214812[[#This Row],[Course]],COURSELIST[],8,FALSE),""))</f>
        <v/>
      </c>
      <c r="L107" s="171"/>
      <c r="M107" s="18"/>
      <c r="N107" s="3" t="str">
        <f>IF(Table1433445014[[#This Row],[Course]]= "","",IFERROR(VLOOKUP(Table1433445014[[#This Row],[Course]],COURSELIST[],2,FALSE),"Course Not Found!"))</f>
        <v/>
      </c>
      <c r="O107" s="3" t="str">
        <f>IF(Table1433445014[[#This Row],[Course]]= "","",IFERROR(VLOOKUP(Table1433445014[[#This Row],[Course]],COURSELIST[],3,FALSE),""))</f>
        <v/>
      </c>
      <c r="P107" s="3" t="str">
        <f>IF(Table1433445014[[#This Row],[Course]]= "","",IFERROR(VLOOKUP(Table1433445014[[#This Row],[Course]],COURSELIST[],4,FALSE),""))</f>
        <v/>
      </c>
      <c r="R107" s="3" t="str">
        <f>IF(Table1433445014[[#This Row],[Course]]= "","",IFERROR(VLOOKUP(Table1433445014[[#This Row],[Course]],COURSELIST[],6,FALSE),""))</f>
        <v/>
      </c>
      <c r="S107" s="3" t="str">
        <f>IF(Table1433445014[[#This Row],[Course]]= "","",IFERROR(VLOOKUP(Table1433445014[[#This Row],[Course]],COURSELIST[],7,FALSE),""))</f>
        <v/>
      </c>
      <c r="T107" s="5" t="str">
        <f>IF(Table1433445014[[#This Row],[Course]]= "","",IFERROR(VLOOKUP(Table1433445014[[#This Row],[Course]],COURSELIST[],8,FALSE),""))</f>
        <v/>
      </c>
      <c r="V107" s="171"/>
      <c r="W107" s="26"/>
      <c r="X107" s="3" t="str">
        <f>IF(Table928394913[[#This Row],[Course]]= "","",IFERROR(VLOOKUP(Table928394913[[#This Row],[Course]],COURSELIST[],2,FALSE),"Course Not Found!"))</f>
        <v/>
      </c>
      <c r="Y107" s="3" t="str">
        <f>IF(Table928394913[[#This Row],[Course]]= "","",IFERROR(VLOOKUP(Table928394913[[#This Row],[Course]],COURSELIST[],3,FALSE),""))</f>
        <v/>
      </c>
      <c r="Z107" s="3" t="str">
        <f>IF(Table928394913[[#This Row],[Course]]= "","",IFERROR(VLOOKUP(Table928394913[[#This Row],[Course]],COURSELIST[],4,FALSE),""))</f>
        <v/>
      </c>
      <c r="AB107" s="3" t="str">
        <f>IF(Table928394913[[#This Row],[Course]]= "","",IFERROR(VLOOKUP(Table928394913[[#This Row],[Course]],COURSELIST[],6,FALSE),""))</f>
        <v/>
      </c>
      <c r="AC107" s="3" t="str">
        <f>IF(Table928394913[[#This Row],[Course]]= "","",IFERROR(VLOOKUP(Table928394913[[#This Row],[Course]],COURSELIST[],7,FALSE),""))</f>
        <v/>
      </c>
      <c r="AD107" s="3" t="str">
        <f>IF(Table928394913[[#This Row],[Course]]= "","",IFERROR(VLOOKUP(Table928394913[[#This Row],[Course]],COURSELIST[],8,FALSE),""))</f>
        <v/>
      </c>
      <c r="AF107" s="171"/>
      <c r="AG107" s="26"/>
      <c r="AH107" s="3" t="str">
        <f>IF(Table9283949525515[[#This Row],[Course]]= "","",IFERROR(VLOOKUP(Table9283949525515[[#This Row],[Course]],COURSELIST[],2,FALSE),"Course Not Found!"))</f>
        <v/>
      </c>
      <c r="AI107" s="3" t="str">
        <f>IF(Table9283949525515[[#This Row],[Course]]= "","",IFERROR(VLOOKUP(Table9283949525515[[#This Row],[Course]],COURSELIST[],3,FALSE),""))</f>
        <v/>
      </c>
      <c r="AJ107" s="3" t="str">
        <f>IF(Table9283949525515[[#This Row],[Course]]= "","",IFERROR(VLOOKUP(Table9283949525515[[#This Row],[Course]],COURSELIST[],4,FALSE),""))</f>
        <v/>
      </c>
      <c r="AL107" s="3" t="str">
        <f>IF(Table9283949525515[[#This Row],[Course]]= "","",IFERROR(VLOOKUP(Table9283949525515[[#This Row],[Course]],COURSELIST[],6,FALSE),""))</f>
        <v/>
      </c>
      <c r="AM107" s="3" t="str">
        <f>IF(Table9283949525515[[#This Row],[Course]]= "","",IFERROR(VLOOKUP(Table9283949525515[[#This Row],[Course]],COURSELIST[],7,FALSE),""))</f>
        <v/>
      </c>
      <c r="AN107" s="3" t="str">
        <f>IF(Table9283949525515[[#This Row],[Course]]= "","",IFERROR(VLOOKUP(Table9283949525515[[#This Row],[Course]],COURSELIST[],8,FALSE),""))</f>
        <v/>
      </c>
    </row>
    <row r="108" spans="1:40" ht="15.75" outlineLevel="1" thickBot="1">
      <c r="B108" s="171"/>
      <c r="C108" s="26"/>
      <c r="D108" s="3" t="str">
        <f>IF(Table322214812[[#This Row],[Course]]= "","",IFERROR(VLOOKUP(Table322214812[[#This Row],[Course]],COURSELIST[],2,FALSE),"Course Not Found!"))</f>
        <v/>
      </c>
      <c r="E108" s="3" t="str">
        <f>IF(Table322214812[[#This Row],[Course]]= "","",IFERROR(VLOOKUP(Table322214812[[#This Row],[Course]],COURSELIST[],3,FALSE),""))</f>
        <v/>
      </c>
      <c r="F108" s="3" t="str">
        <f>IF(Table322214812[[#This Row],[Course]]= "","",IFERROR(VLOOKUP(Table322214812[[#This Row],[Course]],COURSELIST[],4,FALSE),""))</f>
        <v/>
      </c>
      <c r="H108" s="3" t="str">
        <f>IF(Table322214812[[#This Row],[Course]]= "","",IFERROR(VLOOKUP(Table322214812[[#This Row],[Course]],COURSELIST[],6,FALSE),""))</f>
        <v/>
      </c>
      <c r="I108" s="3" t="str">
        <f>IF(Table322214812[[#This Row],[Course]]= "","",IFERROR(VLOOKUP(Table322214812[[#This Row],[Course]],COURSELIST[],7,FALSE),""))</f>
        <v/>
      </c>
      <c r="J108" s="3" t="str">
        <f>IF(Table322214812[[#This Row],[Course]]= "","",IFERROR(VLOOKUP(Table322214812[[#This Row],[Course]],COURSELIST[],8,FALSE),""))</f>
        <v/>
      </c>
      <c r="L108" s="171"/>
      <c r="M108" s="17"/>
      <c r="N108" s="3" t="str">
        <f>IF(Table1433445014[[#This Row],[Course]]= "","",IFERROR(VLOOKUP(Table1433445014[[#This Row],[Course]],COURSELIST[],2,FALSE),"Course Not Found!"))</f>
        <v/>
      </c>
      <c r="O108" s="3" t="str">
        <f>IF(Table1433445014[[#This Row],[Course]]= "","",IFERROR(VLOOKUP(Table1433445014[[#This Row],[Course]],COURSELIST[],3,FALSE),""))</f>
        <v/>
      </c>
      <c r="P108" s="3" t="str">
        <f>IF(Table1433445014[[#This Row],[Course]]= "","",IFERROR(VLOOKUP(Table1433445014[[#This Row],[Course]],COURSELIST[],4,FALSE),""))</f>
        <v/>
      </c>
      <c r="R108" s="3" t="str">
        <f>IF(Table1433445014[[#This Row],[Course]]= "","",IFERROR(VLOOKUP(Table1433445014[[#This Row],[Course]],COURSELIST[],6,FALSE),""))</f>
        <v/>
      </c>
      <c r="S108" s="3" t="str">
        <f>IF(Table1433445014[[#This Row],[Course]]= "","",IFERROR(VLOOKUP(Table1433445014[[#This Row],[Course]],COURSELIST[],7,FALSE),""))</f>
        <v/>
      </c>
      <c r="T108" s="3" t="str">
        <f>IF(Table1433445014[[#This Row],[Course]]= "","",IFERROR(VLOOKUP(Table1433445014[[#This Row],[Course]],COURSELIST[],8,FALSE),""))</f>
        <v/>
      </c>
      <c r="V108" s="171"/>
      <c r="W108" s="26"/>
      <c r="X108" s="3" t="str">
        <f>IF(Table928394913[[#This Row],[Course]]= "","",IFERROR(VLOOKUP(Table928394913[[#This Row],[Course]],COURSELIST[],2,FALSE),"Course Not Found!"))</f>
        <v/>
      </c>
      <c r="Y108" s="3" t="str">
        <f>IF(Table928394913[[#This Row],[Course]]= "","",IFERROR(VLOOKUP(Table928394913[[#This Row],[Course]],COURSELIST[],3,FALSE),""))</f>
        <v/>
      </c>
      <c r="Z108" s="3" t="str">
        <f>IF(Table928394913[[#This Row],[Course]]= "","",IFERROR(VLOOKUP(Table928394913[[#This Row],[Course]],COURSELIST[],4,FALSE),""))</f>
        <v/>
      </c>
      <c r="AB108" s="3" t="str">
        <f>IF(Table928394913[[#This Row],[Course]]= "","",IFERROR(VLOOKUP(Table928394913[[#This Row],[Course]],COURSELIST[],6,FALSE),""))</f>
        <v/>
      </c>
      <c r="AC108" s="3" t="str">
        <f>IF(Table928394913[[#This Row],[Course]]= "","",IFERROR(VLOOKUP(Table928394913[[#This Row],[Course]],COURSELIST[],7,FALSE),""))</f>
        <v/>
      </c>
      <c r="AD108" s="3" t="str">
        <f>IF(Table928394913[[#This Row],[Course]]= "","",IFERROR(VLOOKUP(Table928394913[[#This Row],[Course]],COURSELIST[],8,FALSE),""))</f>
        <v/>
      </c>
      <c r="AF108" s="171"/>
      <c r="AG108" s="26"/>
      <c r="AH108" s="3" t="str">
        <f>IF(Table9283949525515[[#This Row],[Course]]= "","",IFERROR(VLOOKUP(Table9283949525515[[#This Row],[Course]],COURSELIST[],2,FALSE),"Course Not Found!"))</f>
        <v/>
      </c>
      <c r="AI108" s="3" t="str">
        <f>IF(Table9283949525515[[#This Row],[Course]]= "","",IFERROR(VLOOKUP(Table9283949525515[[#This Row],[Course]],COURSELIST[],3,FALSE),""))</f>
        <v/>
      </c>
      <c r="AJ108" s="3" t="str">
        <f>IF(Table9283949525515[[#This Row],[Course]]= "","",IFERROR(VLOOKUP(Table9283949525515[[#This Row],[Course]],COURSELIST[],4,FALSE),""))</f>
        <v/>
      </c>
      <c r="AL108" s="3" t="str">
        <f>IF(Table9283949525515[[#This Row],[Course]]= "","",IFERROR(VLOOKUP(Table9283949525515[[#This Row],[Course]],COURSELIST[],6,FALSE),""))</f>
        <v/>
      </c>
      <c r="AM108" s="3" t="str">
        <f>IF(Table9283949525515[[#This Row],[Course]]= "","",IFERROR(VLOOKUP(Table9283949525515[[#This Row],[Course]],COURSELIST[],7,FALSE),""))</f>
        <v/>
      </c>
      <c r="AN108" s="3" t="str">
        <f>IF(Table9283949525515[[#This Row],[Course]]= "","",IFERROR(VLOOKUP(Table9283949525515[[#This Row],[Course]],COURSELIST[],8,FALSE),""))</f>
        <v/>
      </c>
    </row>
    <row r="109" spans="1:40" ht="15.75" outlineLevel="1" thickBot="1">
      <c r="B109" s="171"/>
      <c r="C109" s="26"/>
      <c r="D109" s="3" t="str">
        <f>IF(Table322214812[[#This Row],[Course]]= "","",IFERROR(VLOOKUP(Table322214812[[#This Row],[Course]],COURSELIST[],2,FALSE),"Course Not Found!"))</f>
        <v/>
      </c>
      <c r="E109" s="3" t="str">
        <f>IF(Table322214812[[#This Row],[Course]]= "","",IFERROR(VLOOKUP(Table322214812[[#This Row],[Course]],COURSELIST[],3,FALSE),""))</f>
        <v/>
      </c>
      <c r="F109" s="3" t="str">
        <f>IF(Table322214812[[#This Row],[Course]]= "","",IFERROR(VLOOKUP(Table322214812[[#This Row],[Course]],COURSELIST[],4,FALSE),""))</f>
        <v/>
      </c>
      <c r="H109" s="3" t="str">
        <f>IF(Table322214812[[#This Row],[Course]]= "","",IFERROR(VLOOKUP(Table322214812[[#This Row],[Course]],COURSELIST[],6,FALSE),""))</f>
        <v/>
      </c>
      <c r="I109" s="3" t="str">
        <f>IF(Table322214812[[#This Row],[Course]]= "","",IFERROR(VLOOKUP(Table322214812[[#This Row],[Course]],COURSELIST[],7,FALSE),""))</f>
        <v/>
      </c>
      <c r="J109" s="3" t="str">
        <f>IF(Table322214812[[#This Row],[Course]]= "","",IFERROR(VLOOKUP(Table322214812[[#This Row],[Course]],COURSELIST[],8,FALSE),""))</f>
        <v/>
      </c>
      <c r="L109" s="171"/>
      <c r="M109" s="29"/>
      <c r="N109" s="3" t="str">
        <f>IF(Table1433445014[[#This Row],[Course]]= "","",IFERROR(VLOOKUP(Table1433445014[[#This Row],[Course]],COURSELIST[],2,FALSE),"Course Not Found!"))</f>
        <v/>
      </c>
      <c r="O109" s="3" t="str">
        <f>IF(Table1433445014[[#This Row],[Course]]= "","",IFERROR(VLOOKUP(Table1433445014[[#This Row],[Course]],COURSELIST[],3,FALSE),""))</f>
        <v/>
      </c>
      <c r="P109" s="3" t="str">
        <f>IF(Table1433445014[[#This Row],[Course]]= "","",IFERROR(VLOOKUP(Table1433445014[[#This Row],[Course]],COURSELIST[],4,FALSE),""))</f>
        <v/>
      </c>
      <c r="R109" s="3" t="str">
        <f>IF(Table1433445014[[#This Row],[Course]]= "","",IFERROR(VLOOKUP(Table1433445014[[#This Row],[Course]],COURSELIST[],6,FALSE),""))</f>
        <v/>
      </c>
      <c r="S109" s="3" t="str">
        <f>IF(Table1433445014[[#This Row],[Course]]= "","",IFERROR(VLOOKUP(Table1433445014[[#This Row],[Course]],COURSELIST[],7,FALSE),""))</f>
        <v/>
      </c>
      <c r="T109" s="3" t="str">
        <f>IF(Table1433445014[[#This Row],[Course]]= "","",IFERROR(VLOOKUP(Table1433445014[[#This Row],[Course]],COURSELIST[],8,FALSE),""))</f>
        <v/>
      </c>
      <c r="V109" s="171"/>
      <c r="W109" s="29"/>
      <c r="X109" s="3" t="str">
        <f>IF(Table928394913[[#This Row],[Course]]= "","",IFERROR(VLOOKUP(Table928394913[[#This Row],[Course]],COURSELIST[],2,FALSE),"Course Not Found!"))</f>
        <v/>
      </c>
      <c r="Y109" s="3" t="str">
        <f>IF(Table928394913[[#This Row],[Course]]= "","",IFERROR(VLOOKUP(Table928394913[[#This Row],[Course]],COURSELIST[],3,FALSE),""))</f>
        <v/>
      </c>
      <c r="Z109" s="3" t="str">
        <f>IF(Table928394913[[#This Row],[Course]]= "","",IFERROR(VLOOKUP(Table928394913[[#This Row],[Course]],COURSELIST[],4,FALSE),""))</f>
        <v/>
      </c>
      <c r="AB109" s="3" t="str">
        <f>IF(Table928394913[[#This Row],[Course]]= "","",IFERROR(VLOOKUP(Table928394913[[#This Row],[Course]],COURSELIST[],6,FALSE),""))</f>
        <v/>
      </c>
      <c r="AC109" s="3" t="str">
        <f>IF(Table928394913[[#This Row],[Course]]= "","",IFERROR(VLOOKUP(Table928394913[[#This Row],[Course]],COURSELIST[],7,FALSE),""))</f>
        <v/>
      </c>
      <c r="AD109" s="3" t="str">
        <f>IF(Table928394913[[#This Row],[Course]]= "","",IFERROR(VLOOKUP(Table928394913[[#This Row],[Course]],COURSELIST[],8,FALSE),""))</f>
        <v/>
      </c>
      <c r="AF109" s="171"/>
      <c r="AG109" s="29"/>
      <c r="AH109" s="3" t="str">
        <f>IF(Table9283949525515[[#This Row],[Course]]= "","",IFERROR(VLOOKUP(Table9283949525515[[#This Row],[Course]],COURSELIST[],2,FALSE),"Course Not Found!"))</f>
        <v/>
      </c>
      <c r="AI109" s="3" t="str">
        <f>IF(Table9283949525515[[#This Row],[Course]]= "","",IFERROR(VLOOKUP(Table9283949525515[[#This Row],[Course]],COURSELIST[],3,FALSE),""))</f>
        <v/>
      </c>
      <c r="AJ109" s="3" t="str">
        <f>IF(Table9283949525515[[#This Row],[Course]]= "","",IFERROR(VLOOKUP(Table9283949525515[[#This Row],[Course]],COURSELIST[],4,FALSE),""))</f>
        <v/>
      </c>
      <c r="AL109" s="3" t="str">
        <f>IF(Table9283949525515[[#This Row],[Course]]= "","",IFERROR(VLOOKUP(Table9283949525515[[#This Row],[Course]],COURSELIST[],6,FALSE),""))</f>
        <v/>
      </c>
      <c r="AM109" s="3" t="str">
        <f>IF(Table9283949525515[[#This Row],[Course]]= "","",IFERROR(VLOOKUP(Table9283949525515[[#This Row],[Course]],COURSELIST[],7,FALSE),""))</f>
        <v/>
      </c>
      <c r="AN109" s="3" t="str">
        <f>IF(Table9283949525515[[#This Row],[Course]]= "","",IFERROR(VLOOKUP(Table9283949525515[[#This Row],[Course]],COURSELIST[],8,FALSE),""))</f>
        <v/>
      </c>
    </row>
    <row r="110" spans="1:40" outlineLevel="1">
      <c r="C110" s="20"/>
      <c r="E110" s="3" t="s">
        <v>10</v>
      </c>
      <c r="F110" s="3">
        <f>SUM(F103:F109)</f>
        <v>0</v>
      </c>
      <c r="G110" s="4"/>
      <c r="I110" s="3" t="s">
        <v>27</v>
      </c>
      <c r="J110" s="4">
        <f>SUM(J103:J109)</f>
        <v>0</v>
      </c>
      <c r="O110" s="3" t="s">
        <v>10</v>
      </c>
      <c r="P110" s="3">
        <f>SUM(P103:P109)</f>
        <v>0</v>
      </c>
      <c r="S110" s="3" t="s">
        <v>27</v>
      </c>
      <c r="T110" s="3">
        <f>SUM(T103:T109)</f>
        <v>0</v>
      </c>
      <c r="Y110" s="3" t="s">
        <v>10</v>
      </c>
      <c r="Z110" s="3">
        <f>SUM(Z103:Z109)</f>
        <v>0</v>
      </c>
      <c r="AC110" s="3" t="s">
        <v>27</v>
      </c>
      <c r="AD110" s="3">
        <f>SUM(AD103:AD109)</f>
        <v>0</v>
      </c>
      <c r="AI110" s="3" t="s">
        <v>10</v>
      </c>
      <c r="AJ110" s="3">
        <f>SUM(AJ103:AJ109)</f>
        <v>0</v>
      </c>
      <c r="AM110" s="3" t="s">
        <v>27</v>
      </c>
      <c r="AN110" s="3">
        <f>SUM(AN103:AN109)</f>
        <v>0</v>
      </c>
    </row>
    <row r="111" spans="1:40" outlineLevel="1">
      <c r="C111" s="20"/>
      <c r="E111" s="3" t="s">
        <v>18</v>
      </c>
      <c r="F111" s="3">
        <f>F110+AJ97</f>
        <v>161</v>
      </c>
      <c r="G111" s="4"/>
      <c r="I111" s="3" t="s">
        <v>17</v>
      </c>
      <c r="J111" s="4">
        <f>J110+AN97</f>
        <v>238.58</v>
      </c>
      <c r="O111" s="3" t="s">
        <v>18</v>
      </c>
      <c r="P111" s="3">
        <f>P110+F111</f>
        <v>161</v>
      </c>
      <c r="S111" s="3" t="s">
        <v>17</v>
      </c>
      <c r="T111" s="3">
        <f>T110+J111</f>
        <v>238.58</v>
      </c>
      <c r="Y111" s="3" t="s">
        <v>18</v>
      </c>
      <c r="Z111" s="3">
        <f>Z110+P111</f>
        <v>161</v>
      </c>
      <c r="AC111" s="3" t="s">
        <v>17</v>
      </c>
      <c r="AD111" s="3">
        <f>AD110+T111</f>
        <v>238.58</v>
      </c>
      <c r="AI111" s="3" t="s">
        <v>18</v>
      </c>
      <c r="AJ111" s="3">
        <f>AJ110+Z111</f>
        <v>161</v>
      </c>
      <c r="AM111" s="3" t="s">
        <v>17</v>
      </c>
      <c r="AN111" s="3">
        <f>AN110+AD111</f>
        <v>238.58</v>
      </c>
    </row>
    <row r="112" spans="1:40" outlineLevel="1">
      <c r="C112" s="20"/>
      <c r="E112" s="5" t="s">
        <v>19</v>
      </c>
      <c r="F112" s="5">
        <f>F110+AJ98</f>
        <v>150</v>
      </c>
      <c r="G112" s="25"/>
      <c r="I112" s="3" t="s">
        <v>14</v>
      </c>
      <c r="J112" s="4" t="e">
        <f>J110/F110</f>
        <v>#DIV/0!</v>
      </c>
      <c r="O112" s="5" t="s">
        <v>19</v>
      </c>
      <c r="P112" s="5">
        <f>P110+F112</f>
        <v>150</v>
      </c>
      <c r="Q112" s="5"/>
      <c r="S112" s="3" t="s">
        <v>14</v>
      </c>
      <c r="T112" s="3" t="e">
        <f>T110/P110</f>
        <v>#DIV/0!</v>
      </c>
      <c r="W112" s="5"/>
      <c r="X112" s="5"/>
      <c r="Y112" s="5" t="s">
        <v>19</v>
      </c>
      <c r="Z112" s="5">
        <f>Z110+P112</f>
        <v>150</v>
      </c>
      <c r="AA112" s="5"/>
      <c r="AC112" s="3" t="s">
        <v>14</v>
      </c>
      <c r="AD112" s="3" t="e">
        <f>AD110/Z110</f>
        <v>#DIV/0!</v>
      </c>
      <c r="AG112" s="5"/>
      <c r="AH112" s="5"/>
      <c r="AI112" s="5" t="s">
        <v>19</v>
      </c>
      <c r="AJ112" s="5">
        <f>AJ110+Z112</f>
        <v>150</v>
      </c>
      <c r="AK112" s="5"/>
      <c r="AM112" s="3" t="s">
        <v>14</v>
      </c>
      <c r="AN112" s="3" t="e">
        <f>AN110/AJ110</f>
        <v>#DIV/0!</v>
      </c>
    </row>
    <row r="113" spans="3:40" ht="21" outlineLevel="1">
      <c r="C113" s="20"/>
      <c r="G113" s="4"/>
      <c r="H113" s="24"/>
      <c r="I113" s="5" t="s">
        <v>16</v>
      </c>
      <c r="J113" s="25">
        <f>J111/F112</f>
        <v>1.5905333333333334</v>
      </c>
      <c r="M113" s="5"/>
      <c r="N113" s="5"/>
      <c r="S113" s="5" t="s">
        <v>16</v>
      </c>
      <c r="T113" s="5">
        <f>T111/P112</f>
        <v>1.5905333333333334</v>
      </c>
      <c r="AC113" s="5" t="s">
        <v>16</v>
      </c>
      <c r="AD113" s="5">
        <f>AD111/Z112</f>
        <v>1.5905333333333334</v>
      </c>
      <c r="AM113" s="5" t="s">
        <v>16</v>
      </c>
      <c r="AN113" s="5">
        <f>AN111/AJ112</f>
        <v>1.5905333333333334</v>
      </c>
    </row>
  </sheetData>
  <sheetProtection selectLockedCells="1"/>
  <dataConsolidate/>
  <mergeCells count="99">
    <mergeCell ref="AG101:AI101"/>
    <mergeCell ref="AJ101:AN101"/>
    <mergeCell ref="P101:T101"/>
    <mergeCell ref="V101:V109"/>
    <mergeCell ref="W101:Y101"/>
    <mergeCell ref="Z101:AD101"/>
    <mergeCell ref="AF101:AF109"/>
    <mergeCell ref="B101:B109"/>
    <mergeCell ref="C101:E101"/>
    <mergeCell ref="F101:J101"/>
    <mergeCell ref="L101:L109"/>
    <mergeCell ref="M101:O101"/>
    <mergeCell ref="AG73:AI73"/>
    <mergeCell ref="AJ73:AN73"/>
    <mergeCell ref="B87:B95"/>
    <mergeCell ref="C87:E87"/>
    <mergeCell ref="F87:J87"/>
    <mergeCell ref="L87:L95"/>
    <mergeCell ref="M87:O87"/>
    <mergeCell ref="P87:T87"/>
    <mergeCell ref="V87:V95"/>
    <mergeCell ref="W87:Y87"/>
    <mergeCell ref="Z87:AD87"/>
    <mergeCell ref="AF87:AF95"/>
    <mergeCell ref="AG87:AI87"/>
    <mergeCell ref="AJ87:AN87"/>
    <mergeCell ref="P73:T73"/>
    <mergeCell ref="V73:V81"/>
    <mergeCell ref="W73:Y73"/>
    <mergeCell ref="Z73:AD73"/>
    <mergeCell ref="AF73:AF81"/>
    <mergeCell ref="B73:B81"/>
    <mergeCell ref="C73:E73"/>
    <mergeCell ref="F73:J73"/>
    <mergeCell ref="L73:L81"/>
    <mergeCell ref="M73:O73"/>
    <mergeCell ref="C59:E59"/>
    <mergeCell ref="C45:E45"/>
    <mergeCell ref="C31:E31"/>
    <mergeCell ref="C17:E17"/>
    <mergeCell ref="C2:E2"/>
    <mergeCell ref="M31:O31"/>
    <mergeCell ref="M17:O17"/>
    <mergeCell ref="L31:L39"/>
    <mergeCell ref="L45:L53"/>
    <mergeCell ref="L59:L67"/>
    <mergeCell ref="B31:B39"/>
    <mergeCell ref="B45:B53"/>
    <mergeCell ref="B59:B67"/>
    <mergeCell ref="L1:M1"/>
    <mergeCell ref="V1:W1"/>
    <mergeCell ref="F31:J31"/>
    <mergeCell ref="P31:T31"/>
    <mergeCell ref="V59:V67"/>
    <mergeCell ref="V45:V53"/>
    <mergeCell ref="V31:V39"/>
    <mergeCell ref="V2:V10"/>
    <mergeCell ref="W45:Y45"/>
    <mergeCell ref="W31:Y31"/>
    <mergeCell ref="W17:Y17"/>
    <mergeCell ref="W2:Y2"/>
    <mergeCell ref="V17:V25"/>
    <mergeCell ref="AF1:AG1"/>
    <mergeCell ref="B2:B10"/>
    <mergeCell ref="B17:B25"/>
    <mergeCell ref="L2:L10"/>
    <mergeCell ref="L17:L25"/>
    <mergeCell ref="F17:J17"/>
    <mergeCell ref="F2:J2"/>
    <mergeCell ref="P17:T17"/>
    <mergeCell ref="P2:T2"/>
    <mergeCell ref="AF2:AF10"/>
    <mergeCell ref="AF17:AF25"/>
    <mergeCell ref="AG2:AI2"/>
    <mergeCell ref="AG17:AI17"/>
    <mergeCell ref="M2:O2"/>
    <mergeCell ref="AJ2:AN2"/>
    <mergeCell ref="Z2:AD2"/>
    <mergeCell ref="Z17:AD17"/>
    <mergeCell ref="AJ17:AN17"/>
    <mergeCell ref="AJ31:AN31"/>
    <mergeCell ref="Z31:AD31"/>
    <mergeCell ref="AF31:AF39"/>
    <mergeCell ref="AG31:AI31"/>
    <mergeCell ref="AJ45:AN45"/>
    <mergeCell ref="Z59:AD59"/>
    <mergeCell ref="AJ59:AN59"/>
    <mergeCell ref="F59:J59"/>
    <mergeCell ref="F45:J45"/>
    <mergeCell ref="P45:T45"/>
    <mergeCell ref="P59:T59"/>
    <mergeCell ref="W59:Y59"/>
    <mergeCell ref="AF45:AF53"/>
    <mergeCell ref="Z45:AD45"/>
    <mergeCell ref="AG45:AI45"/>
    <mergeCell ref="AG59:AI59"/>
    <mergeCell ref="AF59:AF67"/>
    <mergeCell ref="M45:O45"/>
    <mergeCell ref="M59:O59"/>
  </mergeCells>
  <conditionalFormatting sqref="H44 H30 G129:G1048576 R48:R51 I11:I13 AB10 AB19:AB25">
    <cfRule type="cellIs" dxfId="465" priority="535" operator="equal">
      <formula>"N"</formula>
    </cfRule>
    <cfRule type="cellIs" dxfId="464" priority="536" operator="equal">
      <formula>"Y"</formula>
    </cfRule>
  </conditionalFormatting>
  <conditionalFormatting sqref="AB4:AB10">
    <cfRule type="cellIs" dxfId="463" priority="533" operator="equal">
      <formula>"N"</formula>
    </cfRule>
    <cfRule type="cellIs" dxfId="462" priority="534" operator="equal">
      <formula>"Y"</formula>
    </cfRule>
  </conditionalFormatting>
  <conditionalFormatting sqref="AC11:AC13">
    <cfRule type="cellIs" dxfId="461" priority="531" operator="equal">
      <formula>"N"</formula>
    </cfRule>
    <cfRule type="cellIs" dxfId="460" priority="532" operator="equal">
      <formula>"Y"</formula>
    </cfRule>
  </conditionalFormatting>
  <conditionalFormatting sqref="S26:S28">
    <cfRule type="cellIs" dxfId="459" priority="525" operator="equal">
      <formula>"N"</formula>
    </cfRule>
    <cfRule type="cellIs" dxfId="458" priority="526" operator="equal">
      <formula>"Y"</formula>
    </cfRule>
  </conditionalFormatting>
  <conditionalFormatting sqref="S11:S13">
    <cfRule type="cellIs" dxfId="457" priority="529" operator="equal">
      <formula>"N"</formula>
    </cfRule>
    <cfRule type="cellIs" dxfId="456" priority="530" operator="equal">
      <formula>"Y"</formula>
    </cfRule>
  </conditionalFormatting>
  <conditionalFormatting sqref="I26:I28">
    <cfRule type="cellIs" dxfId="455" priority="527" operator="equal">
      <formula>"N"</formula>
    </cfRule>
    <cfRule type="cellIs" dxfId="454" priority="528" operator="equal">
      <formula>"Y"</formula>
    </cfRule>
  </conditionalFormatting>
  <conditionalFormatting sqref="AC26:AC28">
    <cfRule type="cellIs" dxfId="453" priority="523" operator="equal">
      <formula>"N"</formula>
    </cfRule>
    <cfRule type="cellIs" dxfId="452" priority="524" operator="equal">
      <formula>"Y"</formula>
    </cfRule>
  </conditionalFormatting>
  <conditionalFormatting sqref="I40:I42">
    <cfRule type="cellIs" dxfId="451" priority="521" operator="equal">
      <formula>"N"</formula>
    </cfRule>
    <cfRule type="cellIs" dxfId="450" priority="522" operator="equal">
      <formula>"Y"</formula>
    </cfRule>
  </conditionalFormatting>
  <conditionalFormatting sqref="S54:S56">
    <cfRule type="cellIs" dxfId="449" priority="517" operator="equal">
      <formula>"N"</formula>
    </cfRule>
    <cfRule type="cellIs" dxfId="448" priority="518" operator="equal">
      <formula>"Y"</formula>
    </cfRule>
  </conditionalFormatting>
  <conditionalFormatting sqref="H18">
    <cfRule type="cellIs" dxfId="447" priority="503" operator="equal">
      <formula>"N"</formula>
    </cfRule>
    <cfRule type="cellIs" dxfId="446" priority="504" operator="equal">
      <formula>"Y"</formula>
    </cfRule>
  </conditionalFormatting>
  <conditionalFormatting sqref="AC54:AC56">
    <cfRule type="cellIs" dxfId="445" priority="515" operator="equal">
      <formula>"N"</formula>
    </cfRule>
    <cfRule type="cellIs" dxfId="444" priority="516" operator="equal">
      <formula>"Y"</formula>
    </cfRule>
  </conditionalFormatting>
  <conditionalFormatting sqref="S40:S42">
    <cfRule type="cellIs" dxfId="443" priority="513" operator="equal">
      <formula>"N"</formula>
    </cfRule>
    <cfRule type="cellIs" dxfId="442" priority="514" operator="equal">
      <formula>"Y"</formula>
    </cfRule>
  </conditionalFormatting>
  <conditionalFormatting sqref="AC40:AC42">
    <cfRule type="cellIs" dxfId="441" priority="511" operator="equal">
      <formula>"N"</formula>
    </cfRule>
    <cfRule type="cellIs" dxfId="440" priority="512" operator="equal">
      <formula>"Y"</formula>
    </cfRule>
  </conditionalFormatting>
  <conditionalFormatting sqref="K31:K33 C52:C53">
    <cfRule type="expression" dxfId="439" priority="537">
      <formula>#REF!="y"</formula>
    </cfRule>
    <cfRule type="expression" dxfId="438" priority="538">
      <formula>#REF!="Spring 2016"</formula>
    </cfRule>
    <cfRule type="expression" dxfId="437" priority="539">
      <formula>#REF!="Spring 2015"</formula>
    </cfRule>
    <cfRule type="expression" dxfId="436" priority="540">
      <formula>#REF!="Fall 2016"</formula>
    </cfRule>
    <cfRule type="expression" dxfId="435" priority="541">
      <formula>#REF!="Spring 2014"</formula>
    </cfRule>
    <cfRule type="expression" dxfId="434" priority="542">
      <formula>#REF!="Fall 2015"</formula>
    </cfRule>
    <cfRule type="expression" dxfId="433" priority="543">
      <formula>#REF!="Fall 2014"</formula>
    </cfRule>
    <cfRule type="expression" dxfId="432" priority="544">
      <formula>#REF!="Fall 2013"</formula>
    </cfRule>
  </conditionalFormatting>
  <conditionalFormatting sqref="H3">
    <cfRule type="cellIs" dxfId="431" priority="509" operator="equal">
      <formula>"N"</formula>
    </cfRule>
    <cfRule type="cellIs" dxfId="430" priority="510" operator="equal">
      <formula>"Y"</formula>
    </cfRule>
  </conditionalFormatting>
  <conditionalFormatting sqref="R3">
    <cfRule type="cellIs" dxfId="429" priority="507" operator="equal">
      <formula>"N"</formula>
    </cfRule>
    <cfRule type="cellIs" dxfId="428" priority="508" operator="equal">
      <formula>"Y"</formula>
    </cfRule>
  </conditionalFormatting>
  <conditionalFormatting sqref="H32">
    <cfRule type="cellIs" dxfId="427" priority="497" operator="equal">
      <formula>"N"</formula>
    </cfRule>
    <cfRule type="cellIs" dxfId="426" priority="498" operator="equal">
      <formula>"Y"</formula>
    </cfRule>
  </conditionalFormatting>
  <conditionalFormatting sqref="R18">
    <cfRule type="cellIs" dxfId="425" priority="501" operator="equal">
      <formula>"N"</formula>
    </cfRule>
    <cfRule type="cellIs" dxfId="424" priority="502" operator="equal">
      <formula>"Y"</formula>
    </cfRule>
  </conditionalFormatting>
  <conditionalFormatting sqref="K28:K29">
    <cfRule type="expression" dxfId="423" priority="561">
      <formula>#REF!="y"</formula>
    </cfRule>
    <cfRule type="expression" dxfId="422" priority="562">
      <formula>#REF!="Spring 2016"</formula>
    </cfRule>
    <cfRule type="expression" dxfId="421" priority="563">
      <formula>#REF!="Spring 2015"</formula>
    </cfRule>
    <cfRule type="expression" dxfId="420" priority="564">
      <formula>#REF!="Fall 2016"</formula>
    </cfRule>
    <cfRule type="expression" dxfId="419" priority="565">
      <formula>#REF!="Spring 2014"</formula>
    </cfRule>
    <cfRule type="expression" dxfId="418" priority="566">
      <formula>#REF!="Fall 2015"</formula>
    </cfRule>
    <cfRule type="expression" dxfId="417" priority="567">
      <formula>#REF!="Fall 2014"</formula>
    </cfRule>
    <cfRule type="expression" dxfId="416" priority="568">
      <formula>#REF!="Fall 2013"</formula>
    </cfRule>
  </conditionalFormatting>
  <conditionalFormatting sqref="C38">
    <cfRule type="expression" dxfId="415" priority="569">
      <formula>#REF!="y"</formula>
    </cfRule>
    <cfRule type="expression" dxfId="414" priority="570">
      <formula>#REF!="Spring 2016"</formula>
    </cfRule>
    <cfRule type="expression" dxfId="413" priority="571">
      <formula>#REF!="Spring 2015"</formula>
    </cfRule>
    <cfRule type="expression" dxfId="412" priority="572">
      <formula>#REF!="Fall 2016"</formula>
    </cfRule>
    <cfRule type="expression" dxfId="411" priority="573">
      <formula>#REF!="Spring 2014"</formula>
    </cfRule>
    <cfRule type="expression" dxfId="410" priority="574">
      <formula>#REF!="Fall 2015"</formula>
    </cfRule>
    <cfRule type="expression" dxfId="409" priority="575">
      <formula>#REF!="Fall 2014"</formula>
    </cfRule>
    <cfRule type="expression" dxfId="408" priority="576">
      <formula>#REF!="Fall 2013"</formula>
    </cfRule>
  </conditionalFormatting>
  <conditionalFormatting sqref="AB3">
    <cfRule type="cellIs" dxfId="407" priority="505" operator="equal">
      <formula>"N"</formula>
    </cfRule>
    <cfRule type="cellIs" dxfId="406" priority="506" operator="equal">
      <formula>"Y"</formula>
    </cfRule>
  </conditionalFormatting>
  <conditionalFormatting sqref="R32">
    <cfRule type="cellIs" dxfId="405" priority="499" operator="equal">
      <formula>"N"</formula>
    </cfRule>
    <cfRule type="cellIs" dxfId="404" priority="500" operator="equal">
      <formula>"Y"</formula>
    </cfRule>
  </conditionalFormatting>
  <conditionalFormatting sqref="H46">
    <cfRule type="cellIs" dxfId="403" priority="495" operator="equal">
      <formula>"N"</formula>
    </cfRule>
    <cfRule type="cellIs" dxfId="402" priority="496" operator="equal">
      <formula>"Y"</formula>
    </cfRule>
  </conditionalFormatting>
  <conditionalFormatting sqref="R46">
    <cfRule type="cellIs" dxfId="401" priority="493" operator="equal">
      <formula>"N"</formula>
    </cfRule>
    <cfRule type="cellIs" dxfId="400" priority="494" operator="equal">
      <formula>"Y"</formula>
    </cfRule>
  </conditionalFormatting>
  <conditionalFormatting sqref="AB46">
    <cfRule type="cellIs" dxfId="399" priority="491" operator="equal">
      <formula>"N"</formula>
    </cfRule>
    <cfRule type="cellIs" dxfId="398" priority="492" operator="equal">
      <formula>"Y"</formula>
    </cfRule>
  </conditionalFormatting>
  <conditionalFormatting sqref="AB32">
    <cfRule type="cellIs" dxfId="397" priority="489" operator="equal">
      <formula>"N"</formula>
    </cfRule>
    <cfRule type="cellIs" dxfId="396" priority="490" operator="equal">
      <formula>"Y"</formula>
    </cfRule>
  </conditionalFormatting>
  <conditionalFormatting sqref="AB18">
    <cfRule type="cellIs" dxfId="395" priority="487" operator="equal">
      <formula>"N"</formula>
    </cfRule>
    <cfRule type="cellIs" dxfId="394" priority="488" operator="equal">
      <formula>"Y"</formula>
    </cfRule>
  </conditionalFormatting>
  <conditionalFormatting sqref="R62:R65">
    <cfRule type="cellIs" dxfId="377" priority="389" operator="equal">
      <formula>"N"</formula>
    </cfRule>
    <cfRule type="cellIs" dxfId="376" priority="390" operator="equal">
      <formula>"Y"</formula>
    </cfRule>
  </conditionalFormatting>
  <conditionalFormatting sqref="S68:S70">
    <cfRule type="cellIs" dxfId="375" priority="385" operator="equal">
      <formula>"N"</formula>
    </cfRule>
    <cfRule type="cellIs" dxfId="374" priority="386" operator="equal">
      <formula>"Y"</formula>
    </cfRule>
  </conditionalFormatting>
  <conditionalFormatting sqref="AB60">
    <cfRule type="cellIs" dxfId="373" priority="377" operator="equal">
      <formula>"N"</formula>
    </cfRule>
    <cfRule type="cellIs" dxfId="372" priority="378" operator="equal">
      <formula>"Y"</formula>
    </cfRule>
  </conditionalFormatting>
  <conditionalFormatting sqref="AC68:AC70">
    <cfRule type="cellIs" dxfId="371" priority="383" operator="equal">
      <formula>"N"</formula>
    </cfRule>
    <cfRule type="cellIs" dxfId="370" priority="384" operator="equal">
      <formula>"Y"</formula>
    </cfRule>
  </conditionalFormatting>
  <conditionalFormatting sqref="C67">
    <cfRule type="expression" dxfId="369" priority="391">
      <formula>#REF!="y"</formula>
    </cfRule>
    <cfRule type="expression" dxfId="368" priority="392">
      <formula>#REF!="Spring 2016"</formula>
    </cfRule>
    <cfRule type="expression" dxfId="367" priority="393">
      <formula>#REF!="Spring 2015"</formula>
    </cfRule>
    <cfRule type="expression" dxfId="366" priority="394">
      <formula>#REF!="Fall 2016"</formula>
    </cfRule>
    <cfRule type="expression" dxfId="365" priority="395">
      <formula>#REF!="Spring 2014"</formula>
    </cfRule>
    <cfRule type="expression" dxfId="364" priority="396">
      <formula>#REF!="Fall 2015"</formula>
    </cfRule>
    <cfRule type="expression" dxfId="363" priority="397">
      <formula>#REF!="Fall 2014"</formula>
    </cfRule>
    <cfRule type="expression" dxfId="362" priority="398">
      <formula>#REF!="Fall 2013"</formula>
    </cfRule>
  </conditionalFormatting>
  <conditionalFormatting sqref="H60">
    <cfRule type="cellIs" dxfId="361" priority="381" operator="equal">
      <formula>"N"</formula>
    </cfRule>
    <cfRule type="cellIs" dxfId="360" priority="382" operator="equal">
      <formula>"Y"</formula>
    </cfRule>
  </conditionalFormatting>
  <conditionalFormatting sqref="R60">
    <cfRule type="cellIs" dxfId="359" priority="379" operator="equal">
      <formula>"N"</formula>
    </cfRule>
    <cfRule type="cellIs" dxfId="358" priority="380" operator="equal">
      <formula>"Y"</formula>
    </cfRule>
  </conditionalFormatting>
  <conditionalFormatting sqref="AM54:AM56">
    <cfRule type="cellIs" dxfId="357" priority="327" operator="equal">
      <formula>"N"</formula>
    </cfRule>
    <cfRule type="cellIs" dxfId="356" priority="328" operator="equal">
      <formula>"Y"</formula>
    </cfRule>
  </conditionalFormatting>
  <conditionalFormatting sqref="AL46">
    <cfRule type="cellIs" dxfId="355" priority="325" operator="equal">
      <formula>"N"</formula>
    </cfRule>
    <cfRule type="cellIs" dxfId="354" priority="326" operator="equal">
      <formula>"Y"</formula>
    </cfRule>
  </conditionalFormatting>
  <conditionalFormatting sqref="AM40:AM42">
    <cfRule type="cellIs" dxfId="353" priority="291" operator="equal">
      <formula>"N"</formula>
    </cfRule>
    <cfRule type="cellIs" dxfId="352" priority="292" operator="equal">
      <formula>"Y"</formula>
    </cfRule>
  </conditionalFormatting>
  <conditionalFormatting sqref="AL32">
    <cfRule type="cellIs" dxfId="351" priority="289" operator="equal">
      <formula>"N"</formula>
    </cfRule>
    <cfRule type="cellIs" dxfId="350" priority="290" operator="equal">
      <formula>"Y"</formula>
    </cfRule>
  </conditionalFormatting>
  <conditionalFormatting sqref="AM26:AM28">
    <cfRule type="cellIs" dxfId="349" priority="255" operator="equal">
      <formula>"N"</formula>
    </cfRule>
    <cfRule type="cellIs" dxfId="348" priority="256" operator="equal">
      <formula>"Y"</formula>
    </cfRule>
  </conditionalFormatting>
  <conditionalFormatting sqref="AL18">
    <cfRule type="cellIs" dxfId="347" priority="253" operator="equal">
      <formula>"N"</formula>
    </cfRule>
    <cfRule type="cellIs" dxfId="346" priority="254" operator="equal">
      <formula>"Y"</formula>
    </cfRule>
  </conditionalFormatting>
  <conditionalFormatting sqref="AM68:AM70">
    <cfRule type="cellIs" dxfId="345" priority="219" operator="equal">
      <formula>"N"</formula>
    </cfRule>
    <cfRule type="cellIs" dxfId="344" priority="220" operator="equal">
      <formula>"Y"</formula>
    </cfRule>
  </conditionalFormatting>
  <conditionalFormatting sqref="AL60">
    <cfRule type="cellIs" dxfId="343" priority="217" operator="equal">
      <formula>"N"</formula>
    </cfRule>
    <cfRule type="cellIs" dxfId="342" priority="218" operator="equal">
      <formula>"Y"</formula>
    </cfRule>
  </conditionalFormatting>
  <conditionalFormatting sqref="H58">
    <cfRule type="cellIs" dxfId="341" priority="183" operator="equal">
      <formula>"N"</formula>
    </cfRule>
    <cfRule type="cellIs" dxfId="340" priority="184" operator="equal">
      <formula>"Y"</formula>
    </cfRule>
  </conditionalFormatting>
  <conditionalFormatting sqref="I54:I56">
    <cfRule type="cellIs" dxfId="339" priority="179" operator="equal">
      <formula>"N"</formula>
    </cfRule>
    <cfRule type="cellIs" dxfId="338" priority="180" operator="equal">
      <formula>"Y"</formula>
    </cfRule>
  </conditionalFormatting>
  <conditionalFormatting sqref="I68:I70">
    <cfRule type="cellIs" dxfId="337" priority="177" operator="equal">
      <formula>"N"</formula>
    </cfRule>
    <cfRule type="cellIs" dxfId="336" priority="178" operator="equal">
      <formula>"Y"</formula>
    </cfRule>
  </conditionalFormatting>
  <conditionalFormatting sqref="AM11:AM13">
    <cfRule type="cellIs" dxfId="335" priority="135" operator="equal">
      <formula>"N"</formula>
    </cfRule>
    <cfRule type="cellIs" dxfId="334" priority="136" operator="equal">
      <formula>"Y"</formula>
    </cfRule>
  </conditionalFormatting>
  <conditionalFormatting sqref="AL3">
    <cfRule type="cellIs" dxfId="333" priority="133" operator="equal">
      <formula>"N"</formula>
    </cfRule>
    <cfRule type="cellIs" dxfId="332" priority="134" operator="equal">
      <formula>"Y"</formula>
    </cfRule>
  </conditionalFormatting>
  <conditionalFormatting sqref="K30">
    <cfRule type="expression" dxfId="331" priority="698">
      <formula>$I35="y"</formula>
    </cfRule>
    <cfRule type="expression" dxfId="330" priority="699">
      <formula>$G35="Spring 2016"</formula>
    </cfRule>
    <cfRule type="expression" dxfId="329" priority="700">
      <formula>$G35="Spring 2015"</formula>
    </cfRule>
    <cfRule type="expression" dxfId="328" priority="701">
      <formula>$G35="Fall 2016"</formula>
    </cfRule>
    <cfRule type="expression" dxfId="327" priority="702">
      <formula>$G35="Spring 2014"</formula>
    </cfRule>
    <cfRule type="expression" dxfId="326" priority="703">
      <formula>$G35="Fall 2015"</formula>
    </cfRule>
    <cfRule type="expression" dxfId="325" priority="704">
      <formula>$G35="Fall 2014"</formula>
    </cfRule>
    <cfRule type="expression" dxfId="324" priority="705">
      <formula>$G35="Fall 2013"</formula>
    </cfRule>
  </conditionalFormatting>
  <conditionalFormatting sqref="K27">
    <cfRule type="expression" dxfId="323" priority="706">
      <formula>$I31="y"</formula>
    </cfRule>
    <cfRule type="expression" dxfId="322" priority="707">
      <formula>$G31="Spring 2016"</formula>
    </cfRule>
    <cfRule type="expression" dxfId="321" priority="708">
      <formula>$G31="Spring 2015"</formula>
    </cfRule>
    <cfRule type="expression" dxfId="320" priority="709">
      <formula>$G31="Fall 2016"</formula>
    </cfRule>
    <cfRule type="expression" dxfId="319" priority="710">
      <formula>$G31="Spring 2014"</formula>
    </cfRule>
    <cfRule type="expression" dxfId="318" priority="711">
      <formula>$G31="Fall 2015"</formula>
    </cfRule>
    <cfRule type="expression" dxfId="317" priority="712">
      <formula>$G31="Fall 2014"</formula>
    </cfRule>
    <cfRule type="expression" dxfId="316" priority="713">
      <formula>$G31="Fall 2013"</formula>
    </cfRule>
  </conditionalFormatting>
  <conditionalFormatting sqref="K34:K35">
    <cfRule type="expression" dxfId="315" priority="714">
      <formula>$J40="y"</formula>
    </cfRule>
    <cfRule type="expression" dxfId="314" priority="715">
      <formula>$G40="Spring 2016"</formula>
    </cfRule>
    <cfRule type="expression" dxfId="313" priority="716">
      <formula>$G40="Spring 2015"</formula>
    </cfRule>
    <cfRule type="expression" dxfId="312" priority="717">
      <formula>$G40="Fall 2016"</formula>
    </cfRule>
    <cfRule type="expression" dxfId="311" priority="718">
      <formula>$G40="Spring 2014"</formula>
    </cfRule>
    <cfRule type="expression" dxfId="310" priority="719">
      <formula>$G40="Fall 2015"</formula>
    </cfRule>
    <cfRule type="expression" dxfId="309" priority="720">
      <formula>$G40="Fall 2014"</formula>
    </cfRule>
    <cfRule type="expression" dxfId="308" priority="721">
      <formula>$G40="Fall 2013"</formula>
    </cfRule>
  </conditionalFormatting>
  <conditionalFormatting sqref="K36">
    <cfRule type="expression" dxfId="307" priority="722">
      <formula>$J43="y"</formula>
    </cfRule>
    <cfRule type="expression" dxfId="306" priority="723">
      <formula>$G43="Spring 2016"</formula>
    </cfRule>
    <cfRule type="expression" dxfId="305" priority="724">
      <formula>$G43="Spring 2015"</formula>
    </cfRule>
    <cfRule type="expression" dxfId="304" priority="725">
      <formula>$G43="Fall 2016"</formula>
    </cfRule>
    <cfRule type="expression" dxfId="303" priority="726">
      <formula>$G43="Spring 2014"</formula>
    </cfRule>
    <cfRule type="expression" dxfId="302" priority="727">
      <formula>$G43="Fall 2015"</formula>
    </cfRule>
    <cfRule type="expression" dxfId="301" priority="728">
      <formula>$G43="Fall 2014"</formula>
    </cfRule>
    <cfRule type="expression" dxfId="300" priority="729">
      <formula>$G43="Fall 2013"</formula>
    </cfRule>
  </conditionalFormatting>
  <conditionalFormatting sqref="W61 W63:W65 AG47 AG49:AG51 AG35:AG37 AG22:AG23 AG61 AG63:AG65 W37 AG7:AG8">
    <cfRule type="expression" dxfId="299" priority="730">
      <formula>$I7="y"</formula>
    </cfRule>
    <cfRule type="expression" dxfId="298" priority="731">
      <formula>$G7="Spring 2016"</formula>
    </cfRule>
    <cfRule type="expression" dxfId="297" priority="732">
      <formula>$G7="Spring 2015"</formula>
    </cfRule>
    <cfRule type="expression" dxfId="296" priority="733">
      <formula>$G7="Fall 2016"</formula>
    </cfRule>
    <cfRule type="expression" dxfId="295" priority="734">
      <formula>$G7="Spring 2014"</formula>
    </cfRule>
    <cfRule type="expression" dxfId="294" priority="735">
      <formula>$G7="Fall 2015"</formula>
    </cfRule>
    <cfRule type="expression" dxfId="293" priority="736">
      <formula>$G7="Fall 2014"</formula>
    </cfRule>
    <cfRule type="expression" dxfId="292" priority="737">
      <formula>$G7="Fall 2013"</formula>
    </cfRule>
  </conditionalFormatting>
  <conditionalFormatting sqref="W22">
    <cfRule type="expression" dxfId="291" priority="746">
      <formula>$I38="y"</formula>
    </cfRule>
    <cfRule type="expression" dxfId="290" priority="747">
      <formula>$G38="Spring 2016"</formula>
    </cfRule>
    <cfRule type="expression" dxfId="289" priority="748">
      <formula>$G38="Spring 2015"</formula>
    </cfRule>
    <cfRule type="expression" dxfId="288" priority="749">
      <formula>$G38="Fall 2016"</formula>
    </cfRule>
    <cfRule type="expression" dxfId="287" priority="750">
      <formula>$G38="Spring 2014"</formula>
    </cfRule>
    <cfRule type="expression" dxfId="286" priority="751">
      <formula>$G38="Fall 2015"</formula>
    </cfRule>
    <cfRule type="expression" dxfId="285" priority="752">
      <formula>$G38="Fall 2014"</formula>
    </cfRule>
    <cfRule type="expression" dxfId="284" priority="753">
      <formula>$G38="Fall 2013"</formula>
    </cfRule>
  </conditionalFormatting>
  <conditionalFormatting sqref="W5">
    <cfRule type="expression" dxfId="283" priority="770">
      <formula>$I49="y"</formula>
    </cfRule>
    <cfRule type="expression" dxfId="282" priority="771">
      <formula>$G49="Spring 2016"</formula>
    </cfRule>
    <cfRule type="expression" dxfId="281" priority="772">
      <formula>$G49="Spring 2015"</formula>
    </cfRule>
    <cfRule type="expression" dxfId="280" priority="773">
      <formula>$G49="Fall 2016"</formula>
    </cfRule>
    <cfRule type="expression" dxfId="279" priority="774">
      <formula>$G49="Spring 2014"</formula>
    </cfRule>
    <cfRule type="expression" dxfId="278" priority="775">
      <formula>$G49="Fall 2015"</formula>
    </cfRule>
    <cfRule type="expression" dxfId="277" priority="776">
      <formula>$G49="Fall 2014"</formula>
    </cfRule>
    <cfRule type="expression" dxfId="276" priority="777">
      <formula>$G49="Fall 2013"</formula>
    </cfRule>
  </conditionalFormatting>
  <conditionalFormatting sqref="W6">
    <cfRule type="expression" dxfId="275" priority="778">
      <formula>$I51="y"</formula>
    </cfRule>
    <cfRule type="expression" dxfId="274" priority="779">
      <formula>$G51="Spring 2016"</formula>
    </cfRule>
    <cfRule type="expression" dxfId="273" priority="780">
      <formula>$G51="Spring 2015"</formula>
    </cfRule>
    <cfRule type="expression" dxfId="272" priority="781">
      <formula>$G51="Fall 2016"</formula>
    </cfRule>
    <cfRule type="expression" dxfId="271" priority="782">
      <formula>$G51="Spring 2014"</formula>
    </cfRule>
    <cfRule type="expression" dxfId="270" priority="783">
      <formula>$G51="Fall 2015"</formula>
    </cfRule>
    <cfRule type="expression" dxfId="269" priority="784">
      <formula>$G51="Fall 2014"</formula>
    </cfRule>
    <cfRule type="expression" dxfId="268" priority="785">
      <formula>$G51="Fall 2013"</formula>
    </cfRule>
  </conditionalFormatting>
  <conditionalFormatting sqref="W52">
    <cfRule type="expression" dxfId="267" priority="794">
      <formula>$I62="y"</formula>
    </cfRule>
    <cfRule type="expression" dxfId="266" priority="795">
      <formula>$G62="Spring 2016"</formula>
    </cfRule>
    <cfRule type="expression" dxfId="265" priority="796">
      <formula>$G62="Spring 2015"</formula>
    </cfRule>
    <cfRule type="expression" dxfId="264" priority="797">
      <formula>$G62="Fall 2016"</formula>
    </cfRule>
    <cfRule type="expression" dxfId="263" priority="798">
      <formula>$G62="Spring 2014"</formula>
    </cfRule>
    <cfRule type="expression" dxfId="262" priority="799">
      <formula>$G62="Fall 2015"</formula>
    </cfRule>
    <cfRule type="expression" dxfId="261" priority="800">
      <formula>$G62="Fall 2014"</formula>
    </cfRule>
    <cfRule type="expression" dxfId="260" priority="801">
      <formula>$G62="Fall 2013"</formula>
    </cfRule>
  </conditionalFormatting>
  <conditionalFormatting sqref="W35">
    <cfRule type="expression" dxfId="259" priority="938">
      <formula>$I50="y"</formula>
    </cfRule>
    <cfRule type="expression" dxfId="258" priority="939">
      <formula>$G50="Spring 2016"</formula>
    </cfRule>
    <cfRule type="expression" dxfId="257" priority="940">
      <formula>$G50="Spring 2015"</formula>
    </cfRule>
    <cfRule type="expression" dxfId="256" priority="941">
      <formula>$G50="Fall 2016"</formula>
    </cfRule>
    <cfRule type="expression" dxfId="255" priority="942">
      <formula>$G50="Spring 2014"</formula>
    </cfRule>
    <cfRule type="expression" dxfId="254" priority="943">
      <formula>$G50="Fall 2015"</formula>
    </cfRule>
    <cfRule type="expression" dxfId="253" priority="944">
      <formula>$G50="Fall 2014"</formula>
    </cfRule>
    <cfRule type="expression" dxfId="252" priority="945">
      <formula>$G50="Fall 2013"</formula>
    </cfRule>
  </conditionalFormatting>
  <conditionalFormatting sqref="C33">
    <cfRule type="expression" dxfId="251" priority="946">
      <formula>$I37="y"</formula>
    </cfRule>
    <cfRule type="expression" dxfId="250" priority="947">
      <formula>$G37="Spring 2016"</formula>
    </cfRule>
    <cfRule type="expression" dxfId="249" priority="948">
      <formula>$G37="Spring 2015"</formula>
    </cfRule>
    <cfRule type="expression" dxfId="248" priority="949">
      <formula>$G37="Fall 2016"</formula>
    </cfRule>
    <cfRule type="expression" dxfId="247" priority="950">
      <formula>$G37="Spring 2014"</formula>
    </cfRule>
    <cfRule type="expression" dxfId="246" priority="951">
      <formula>$G37="Fall 2015"</formula>
    </cfRule>
    <cfRule type="expression" dxfId="245" priority="952">
      <formula>$G37="Fall 2014"</formula>
    </cfRule>
    <cfRule type="expression" dxfId="244" priority="953">
      <formula>$G37="Fall 2013"</formula>
    </cfRule>
  </conditionalFormatting>
  <conditionalFormatting sqref="W4">
    <cfRule type="expression" dxfId="243" priority="1096">
      <formula>$I47="y"</formula>
    </cfRule>
    <cfRule type="expression" dxfId="242" priority="1097">
      <formula>$G47="Spring 2016"</formula>
    </cfRule>
    <cfRule type="expression" dxfId="241" priority="1098">
      <formula>$G47="Spring 2015"</formula>
    </cfRule>
    <cfRule type="expression" dxfId="240" priority="1099">
      <formula>$G47="Fall 2016"</formula>
    </cfRule>
    <cfRule type="expression" dxfId="239" priority="1100">
      <formula>$G47="Spring 2014"</formula>
    </cfRule>
    <cfRule type="expression" dxfId="238" priority="1101">
      <formula>$G47="Fall 2015"</formula>
    </cfRule>
    <cfRule type="expression" dxfId="237" priority="1102">
      <formula>$G47="Fall 2014"</formula>
    </cfRule>
    <cfRule type="expression" dxfId="236" priority="1103">
      <formula>$G47="Fall 2013"</formula>
    </cfRule>
  </conditionalFormatting>
  <conditionalFormatting sqref="C34">
    <cfRule type="expression" dxfId="235" priority="109">
      <formula>$I34="y"</formula>
    </cfRule>
    <cfRule type="expression" dxfId="234" priority="110">
      <formula>$G34="Spring 2016"</formula>
    </cfRule>
    <cfRule type="expression" dxfId="233" priority="111">
      <formula>$G34="Spring 2015"</formula>
    </cfRule>
    <cfRule type="expression" dxfId="232" priority="112">
      <formula>$G34="Fall 2016"</formula>
    </cfRule>
    <cfRule type="expression" dxfId="231" priority="113">
      <formula>$G34="Spring 2014"</formula>
    </cfRule>
    <cfRule type="expression" dxfId="230" priority="114">
      <formula>$G34="Fall 2015"</formula>
    </cfRule>
    <cfRule type="expression" dxfId="229" priority="115">
      <formula>$G34="Fall 2014"</formula>
    </cfRule>
    <cfRule type="expression" dxfId="228" priority="116">
      <formula>$G34="Fall 2013"</formula>
    </cfRule>
  </conditionalFormatting>
  <conditionalFormatting sqref="R76:R79">
    <cfRule type="cellIs" dxfId="227" priority="91" operator="equal">
      <formula>"N"</formula>
    </cfRule>
    <cfRule type="cellIs" dxfId="226" priority="92" operator="equal">
      <formula>"Y"</formula>
    </cfRule>
  </conditionalFormatting>
  <conditionalFormatting sqref="S82:S84">
    <cfRule type="cellIs" dxfId="225" priority="89" operator="equal">
      <formula>"N"</formula>
    </cfRule>
    <cfRule type="cellIs" dxfId="224" priority="90" operator="equal">
      <formula>"Y"</formula>
    </cfRule>
  </conditionalFormatting>
  <conditionalFormatting sqref="AB74">
    <cfRule type="cellIs" dxfId="223" priority="81" operator="equal">
      <formula>"N"</formula>
    </cfRule>
    <cfRule type="cellIs" dxfId="222" priority="82" operator="equal">
      <formula>"Y"</formula>
    </cfRule>
  </conditionalFormatting>
  <conditionalFormatting sqref="AC82:AC84">
    <cfRule type="cellIs" dxfId="221" priority="87" operator="equal">
      <formula>"N"</formula>
    </cfRule>
    <cfRule type="cellIs" dxfId="220" priority="88" operator="equal">
      <formula>"Y"</formula>
    </cfRule>
  </conditionalFormatting>
  <conditionalFormatting sqref="C81">
    <cfRule type="expression" dxfId="219" priority="93">
      <formula>#REF!="y"</formula>
    </cfRule>
    <cfRule type="expression" dxfId="218" priority="94">
      <formula>#REF!="Spring 2016"</formula>
    </cfRule>
    <cfRule type="expression" dxfId="217" priority="95">
      <formula>#REF!="Spring 2015"</formula>
    </cfRule>
    <cfRule type="expression" dxfId="216" priority="96">
      <formula>#REF!="Fall 2016"</formula>
    </cfRule>
    <cfRule type="expression" dxfId="215" priority="97">
      <formula>#REF!="Spring 2014"</formula>
    </cfRule>
    <cfRule type="expression" dxfId="214" priority="98">
      <formula>#REF!="Fall 2015"</formula>
    </cfRule>
    <cfRule type="expression" dxfId="213" priority="99">
      <formula>#REF!="Fall 2014"</formula>
    </cfRule>
    <cfRule type="expression" dxfId="212" priority="100">
      <formula>#REF!="Fall 2013"</formula>
    </cfRule>
  </conditionalFormatting>
  <conditionalFormatting sqref="H74">
    <cfRule type="cellIs" dxfId="211" priority="85" operator="equal">
      <formula>"N"</formula>
    </cfRule>
    <cfRule type="cellIs" dxfId="210" priority="86" operator="equal">
      <formula>"Y"</formula>
    </cfRule>
  </conditionalFormatting>
  <conditionalFormatting sqref="R74">
    <cfRule type="cellIs" dxfId="209" priority="83" operator="equal">
      <formula>"N"</formula>
    </cfRule>
    <cfRule type="cellIs" dxfId="208" priority="84" operator="equal">
      <formula>"Y"</formula>
    </cfRule>
  </conditionalFormatting>
  <conditionalFormatting sqref="AM82:AM84">
    <cfRule type="cellIs" dxfId="207" priority="79" operator="equal">
      <formula>"N"</formula>
    </cfRule>
    <cfRule type="cellIs" dxfId="206" priority="80" operator="equal">
      <formula>"Y"</formula>
    </cfRule>
  </conditionalFormatting>
  <conditionalFormatting sqref="AL74">
    <cfRule type="cellIs" dxfId="205" priority="77" operator="equal">
      <formula>"N"</formula>
    </cfRule>
    <cfRule type="cellIs" dxfId="204" priority="78" operator="equal">
      <formula>"Y"</formula>
    </cfRule>
  </conditionalFormatting>
  <conditionalFormatting sqref="H72">
    <cfRule type="cellIs" dxfId="203" priority="75" operator="equal">
      <formula>"N"</formula>
    </cfRule>
    <cfRule type="cellIs" dxfId="202" priority="76" operator="equal">
      <formula>"Y"</formula>
    </cfRule>
  </conditionalFormatting>
  <conditionalFormatting sqref="I82:I84">
    <cfRule type="cellIs" dxfId="201" priority="73" operator="equal">
      <formula>"N"</formula>
    </cfRule>
    <cfRule type="cellIs" dxfId="200" priority="74" operator="equal">
      <formula>"Y"</formula>
    </cfRule>
  </conditionalFormatting>
  <conditionalFormatting sqref="W75 W77:W79 AG75 AG77:AG79">
    <cfRule type="expression" dxfId="199" priority="101">
      <formula>$I75="y"</formula>
    </cfRule>
    <cfRule type="expression" dxfId="198" priority="102">
      <formula>$G75="Spring 2016"</formula>
    </cfRule>
    <cfRule type="expression" dxfId="197" priority="103">
      <formula>$G75="Spring 2015"</formula>
    </cfRule>
    <cfRule type="expression" dxfId="196" priority="104">
      <formula>$G75="Fall 2016"</formula>
    </cfRule>
    <cfRule type="expression" dxfId="195" priority="105">
      <formula>$G75="Spring 2014"</formula>
    </cfRule>
    <cfRule type="expression" dxfId="194" priority="106">
      <formula>$G75="Fall 2015"</formula>
    </cfRule>
    <cfRule type="expression" dxfId="193" priority="107">
      <formula>$G75="Fall 2014"</formula>
    </cfRule>
    <cfRule type="expression" dxfId="192" priority="108">
      <formula>$G75="Fall 2013"</formula>
    </cfRule>
  </conditionalFormatting>
  <conditionalFormatting sqref="R90:R93">
    <cfRule type="cellIs" dxfId="151" priority="55" operator="equal">
      <formula>"N"</formula>
    </cfRule>
    <cfRule type="cellIs" dxfId="150" priority="56" operator="equal">
      <formula>"Y"</formula>
    </cfRule>
  </conditionalFormatting>
  <conditionalFormatting sqref="S96:S98">
    <cfRule type="cellIs" dxfId="149" priority="53" operator="equal">
      <formula>"N"</formula>
    </cfRule>
    <cfRule type="cellIs" dxfId="148" priority="54" operator="equal">
      <formula>"Y"</formula>
    </cfRule>
  </conditionalFormatting>
  <conditionalFormatting sqref="AB88">
    <cfRule type="cellIs" dxfId="147" priority="45" operator="equal">
      <formula>"N"</formula>
    </cfRule>
    <cfRule type="cellIs" dxfId="146" priority="46" operator="equal">
      <formula>"Y"</formula>
    </cfRule>
  </conditionalFormatting>
  <conditionalFormatting sqref="AC96:AC98">
    <cfRule type="cellIs" dxfId="145" priority="51" operator="equal">
      <formula>"N"</formula>
    </cfRule>
    <cfRule type="cellIs" dxfId="144" priority="52" operator="equal">
      <formula>"Y"</formula>
    </cfRule>
  </conditionalFormatting>
  <conditionalFormatting sqref="C95">
    <cfRule type="expression" dxfId="143" priority="57">
      <formula>#REF!="y"</formula>
    </cfRule>
    <cfRule type="expression" dxfId="142" priority="58">
      <formula>#REF!="Spring 2016"</formula>
    </cfRule>
    <cfRule type="expression" dxfId="141" priority="59">
      <formula>#REF!="Spring 2015"</formula>
    </cfRule>
    <cfRule type="expression" dxfId="140" priority="60">
      <formula>#REF!="Fall 2016"</formula>
    </cfRule>
    <cfRule type="expression" dxfId="139" priority="61">
      <formula>#REF!="Spring 2014"</formula>
    </cfRule>
    <cfRule type="expression" dxfId="138" priority="62">
      <formula>#REF!="Fall 2015"</formula>
    </cfRule>
    <cfRule type="expression" dxfId="137" priority="63">
      <formula>#REF!="Fall 2014"</formula>
    </cfRule>
    <cfRule type="expression" dxfId="136" priority="64">
      <formula>#REF!="Fall 2013"</formula>
    </cfRule>
  </conditionalFormatting>
  <conditionalFormatting sqref="H88">
    <cfRule type="cellIs" dxfId="135" priority="49" operator="equal">
      <formula>"N"</formula>
    </cfRule>
    <cfRule type="cellIs" dxfId="134" priority="50" operator="equal">
      <formula>"Y"</formula>
    </cfRule>
  </conditionalFormatting>
  <conditionalFormatting sqref="R88">
    <cfRule type="cellIs" dxfId="133" priority="47" operator="equal">
      <formula>"N"</formula>
    </cfRule>
    <cfRule type="cellIs" dxfId="132" priority="48" operator="equal">
      <formula>"Y"</formula>
    </cfRule>
  </conditionalFormatting>
  <conditionalFormatting sqref="AM96:AM98">
    <cfRule type="cellIs" dxfId="131" priority="43" operator="equal">
      <formula>"N"</formula>
    </cfRule>
    <cfRule type="cellIs" dxfId="130" priority="44" operator="equal">
      <formula>"Y"</formula>
    </cfRule>
  </conditionalFormatting>
  <conditionalFormatting sqref="AL88">
    <cfRule type="cellIs" dxfId="129" priority="41" operator="equal">
      <formula>"N"</formula>
    </cfRule>
    <cfRule type="cellIs" dxfId="128" priority="42" operator="equal">
      <formula>"Y"</formula>
    </cfRule>
  </conditionalFormatting>
  <conditionalFormatting sqref="H86">
    <cfRule type="cellIs" dxfId="127" priority="39" operator="equal">
      <formula>"N"</formula>
    </cfRule>
    <cfRule type="cellIs" dxfId="126" priority="40" operator="equal">
      <formula>"Y"</formula>
    </cfRule>
  </conditionalFormatting>
  <conditionalFormatting sqref="I96:I98">
    <cfRule type="cellIs" dxfId="125" priority="37" operator="equal">
      <formula>"N"</formula>
    </cfRule>
    <cfRule type="cellIs" dxfId="124" priority="38" operator="equal">
      <formula>"Y"</formula>
    </cfRule>
  </conditionalFormatting>
  <conditionalFormatting sqref="W89 W91:W93 AG89 AG91:AG93">
    <cfRule type="expression" dxfId="123" priority="65">
      <formula>$I89="y"</formula>
    </cfRule>
    <cfRule type="expression" dxfId="122" priority="66">
      <formula>$G89="Spring 2016"</formula>
    </cfRule>
    <cfRule type="expression" dxfId="121" priority="67">
      <formula>$G89="Spring 2015"</formula>
    </cfRule>
    <cfRule type="expression" dxfId="120" priority="68">
      <formula>$G89="Fall 2016"</formula>
    </cfRule>
    <cfRule type="expression" dxfId="119" priority="69">
      <formula>$G89="Spring 2014"</formula>
    </cfRule>
    <cfRule type="expression" dxfId="118" priority="70">
      <formula>$G89="Fall 2015"</formula>
    </cfRule>
    <cfRule type="expression" dxfId="117" priority="71">
      <formula>$G89="Fall 2014"</formula>
    </cfRule>
    <cfRule type="expression" dxfId="116" priority="72">
      <formula>$G89="Fall 2013"</formula>
    </cfRule>
  </conditionalFormatting>
  <conditionalFormatting sqref="R104:R107">
    <cfRule type="cellIs" dxfId="75" priority="19" operator="equal">
      <formula>"N"</formula>
    </cfRule>
    <cfRule type="cellIs" dxfId="74" priority="20" operator="equal">
      <formula>"Y"</formula>
    </cfRule>
  </conditionalFormatting>
  <conditionalFormatting sqref="S110:S112">
    <cfRule type="cellIs" dxfId="73" priority="17" operator="equal">
      <formula>"N"</formula>
    </cfRule>
    <cfRule type="cellIs" dxfId="72" priority="18" operator="equal">
      <formula>"Y"</formula>
    </cfRule>
  </conditionalFormatting>
  <conditionalFormatting sqref="AB102">
    <cfRule type="cellIs" dxfId="71" priority="9" operator="equal">
      <formula>"N"</formula>
    </cfRule>
    <cfRule type="cellIs" dxfId="70" priority="10" operator="equal">
      <formula>"Y"</formula>
    </cfRule>
  </conditionalFormatting>
  <conditionalFormatting sqref="AC110:AC112">
    <cfRule type="cellIs" dxfId="69" priority="15" operator="equal">
      <formula>"N"</formula>
    </cfRule>
    <cfRule type="cellIs" dxfId="68" priority="16" operator="equal">
      <formula>"Y"</formula>
    </cfRule>
  </conditionalFormatting>
  <conditionalFormatting sqref="C109">
    <cfRule type="expression" dxfId="67" priority="21">
      <formula>#REF!="y"</formula>
    </cfRule>
    <cfRule type="expression" dxfId="66" priority="22">
      <formula>#REF!="Spring 2016"</formula>
    </cfRule>
    <cfRule type="expression" dxfId="65" priority="23">
      <formula>#REF!="Spring 2015"</formula>
    </cfRule>
    <cfRule type="expression" dxfId="64" priority="24">
      <formula>#REF!="Fall 2016"</formula>
    </cfRule>
    <cfRule type="expression" dxfId="63" priority="25">
      <formula>#REF!="Spring 2014"</formula>
    </cfRule>
    <cfRule type="expression" dxfId="62" priority="26">
      <formula>#REF!="Fall 2015"</formula>
    </cfRule>
    <cfRule type="expression" dxfId="61" priority="27">
      <formula>#REF!="Fall 2014"</formula>
    </cfRule>
    <cfRule type="expression" dxfId="60" priority="28">
      <formula>#REF!="Fall 2013"</formula>
    </cfRule>
  </conditionalFormatting>
  <conditionalFormatting sqref="H102">
    <cfRule type="cellIs" dxfId="59" priority="13" operator="equal">
      <formula>"N"</formula>
    </cfRule>
    <cfRule type="cellIs" dxfId="58" priority="14" operator="equal">
      <formula>"Y"</formula>
    </cfRule>
  </conditionalFormatting>
  <conditionalFormatting sqref="R102">
    <cfRule type="cellIs" dxfId="57" priority="11" operator="equal">
      <formula>"N"</formula>
    </cfRule>
    <cfRule type="cellIs" dxfId="56" priority="12" operator="equal">
      <formula>"Y"</formula>
    </cfRule>
  </conditionalFormatting>
  <conditionalFormatting sqref="AM110:AM112">
    <cfRule type="cellIs" dxfId="55" priority="7" operator="equal">
      <formula>"N"</formula>
    </cfRule>
    <cfRule type="cellIs" dxfId="54" priority="8" operator="equal">
      <formula>"Y"</formula>
    </cfRule>
  </conditionalFormatting>
  <conditionalFormatting sqref="AL102">
    <cfRule type="cellIs" dxfId="53" priority="5" operator="equal">
      <formula>"N"</formula>
    </cfRule>
    <cfRule type="cellIs" dxfId="52" priority="6" operator="equal">
      <formula>"Y"</formula>
    </cfRule>
  </conditionalFormatting>
  <conditionalFormatting sqref="H100">
    <cfRule type="cellIs" dxfId="51" priority="3" operator="equal">
      <formula>"N"</formula>
    </cfRule>
    <cfRule type="cellIs" dxfId="50" priority="4" operator="equal">
      <formula>"Y"</formula>
    </cfRule>
  </conditionalFormatting>
  <conditionalFormatting sqref="I110:I112">
    <cfRule type="cellIs" dxfId="49" priority="1" operator="equal">
      <formula>"N"</formula>
    </cfRule>
    <cfRule type="cellIs" dxfId="48" priority="2" operator="equal">
      <formula>"Y"</formula>
    </cfRule>
  </conditionalFormatting>
  <conditionalFormatting sqref="W103 W105:W107 AG103 AG105:AG107">
    <cfRule type="expression" dxfId="47" priority="29">
      <formula>$I103="y"</formula>
    </cfRule>
    <cfRule type="expression" dxfId="46" priority="30">
      <formula>$G103="Spring 2016"</formula>
    </cfRule>
    <cfRule type="expression" dxfId="45" priority="31">
      <formula>$G103="Spring 2015"</formula>
    </cfRule>
    <cfRule type="expression" dxfId="44" priority="32">
      <formula>$G103="Fall 2016"</formula>
    </cfRule>
    <cfRule type="expression" dxfId="43" priority="33">
      <formula>$G103="Spring 2014"</formula>
    </cfRule>
    <cfRule type="expression" dxfId="42" priority="34">
      <formula>$G103="Fall 2015"</formula>
    </cfRule>
    <cfRule type="expression" dxfId="41" priority="35">
      <formula>$G103="Fall 2014"</formula>
    </cfRule>
    <cfRule type="expression" dxfId="40" priority="36">
      <formula>$G103="Fall 2013"</formula>
    </cfRule>
  </conditionalFormatting>
  <pageMargins left="0.7" right="0.7" top="0.75" bottom="0.75" header="0.3" footer="0.3"/>
  <pageSetup orientation="portrait" r:id="rId1"/>
  <tableParts count="3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38"/>
  <sheetViews>
    <sheetView topLeftCell="A471" workbookViewId="0">
      <selection activeCell="A492" sqref="A492"/>
    </sheetView>
    <sheetView workbookViewId="1"/>
  </sheetViews>
  <sheetFormatPr defaultRowHeight="15" outlineLevelRow="1"/>
  <sheetData>
    <row r="1" spans="1:1" hidden="1" outlineLevel="1">
      <c r="A1" s="102"/>
    </row>
    <row r="2" spans="1:1" hidden="1" outlineLevel="1">
      <c r="A2" s="103"/>
    </row>
    <row r="3" spans="1:1" hidden="1" outlineLevel="1">
      <c r="A3" s="103"/>
    </row>
    <row r="4" spans="1:1" hidden="1" outlineLevel="1">
      <c r="A4" s="103"/>
    </row>
    <row r="5" spans="1:1" hidden="1" outlineLevel="1">
      <c r="A5" s="103"/>
    </row>
    <row r="6" spans="1:1" hidden="1" outlineLevel="1">
      <c r="A6" s="103"/>
    </row>
    <row r="7" spans="1:1" hidden="1" outlineLevel="1">
      <c r="A7" s="103"/>
    </row>
    <row r="8" spans="1:1" hidden="1" outlineLevel="1">
      <c r="A8" s="103"/>
    </row>
    <row r="9" spans="1:1" hidden="1" outlineLevel="1">
      <c r="A9" s="103"/>
    </row>
    <row r="10" spans="1:1" hidden="1" outlineLevel="1">
      <c r="A10" s="103"/>
    </row>
    <row r="11" spans="1:1" hidden="1" outlineLevel="1">
      <c r="A11" s="103"/>
    </row>
    <row r="12" spans="1:1" hidden="1" outlineLevel="1">
      <c r="A12" s="103"/>
    </row>
    <row r="13" spans="1:1" hidden="1" outlineLevel="1">
      <c r="A13" s="103"/>
    </row>
    <row r="14" spans="1:1" hidden="1" outlineLevel="1">
      <c r="A14" s="103"/>
    </row>
    <row r="15" spans="1:1" hidden="1" outlineLevel="1">
      <c r="A15" s="103"/>
    </row>
    <row r="16" spans="1:1" hidden="1" outlineLevel="1">
      <c r="A16" s="103"/>
    </row>
    <row r="17" spans="1:1" hidden="1" outlineLevel="1">
      <c r="A17" s="103"/>
    </row>
    <row r="18" spans="1:1" hidden="1" outlineLevel="1">
      <c r="A18" s="103"/>
    </row>
    <row r="19" spans="1:1" hidden="1" outlineLevel="1">
      <c r="A19" s="103"/>
    </row>
    <row r="20" spans="1:1" hidden="1" outlineLevel="1">
      <c r="A20" s="103"/>
    </row>
    <row r="21" spans="1:1" hidden="1" outlineLevel="1">
      <c r="A21" s="103"/>
    </row>
    <row r="22" spans="1:1" hidden="1" outlineLevel="1">
      <c r="A22" s="103"/>
    </row>
    <row r="23" spans="1:1" hidden="1" outlineLevel="1">
      <c r="A23" s="103"/>
    </row>
    <row r="24" spans="1:1" hidden="1" outlineLevel="1">
      <c r="A24" s="103"/>
    </row>
    <row r="25" spans="1:1" hidden="1" outlineLevel="1">
      <c r="A25" s="103"/>
    </row>
    <row r="26" spans="1:1" hidden="1" outlineLevel="1">
      <c r="A26" s="103"/>
    </row>
    <row r="27" spans="1:1" hidden="1" outlineLevel="1">
      <c r="A27" s="103"/>
    </row>
    <row r="28" spans="1:1" hidden="1" outlineLevel="1">
      <c r="A28" s="103"/>
    </row>
    <row r="29" spans="1:1" hidden="1" outlineLevel="1">
      <c r="A29" s="103"/>
    </row>
    <row r="30" spans="1:1" hidden="1" outlineLevel="1">
      <c r="A30" s="103"/>
    </row>
    <row r="31" spans="1:1" hidden="1" outlineLevel="1">
      <c r="A31" s="103"/>
    </row>
    <row r="32" spans="1:1" hidden="1" outlineLevel="1">
      <c r="A32" s="103"/>
    </row>
    <row r="33" spans="1:1" hidden="1" outlineLevel="1">
      <c r="A33" s="103"/>
    </row>
    <row r="34" spans="1:1" hidden="1" outlineLevel="1">
      <c r="A34" s="103"/>
    </row>
    <row r="35" spans="1:1" hidden="1" outlineLevel="1">
      <c r="A35" s="103"/>
    </row>
    <row r="36" spans="1:1" hidden="1" outlineLevel="1">
      <c r="A36" s="103"/>
    </row>
    <row r="37" spans="1:1" hidden="1" outlineLevel="1">
      <c r="A37" s="103"/>
    </row>
    <row r="38" spans="1:1" hidden="1" outlineLevel="1">
      <c r="A38" s="103"/>
    </row>
    <row r="39" spans="1:1" hidden="1" outlineLevel="1">
      <c r="A39" s="103"/>
    </row>
    <row r="40" spans="1:1" hidden="1" outlineLevel="1">
      <c r="A40" s="103"/>
    </row>
    <row r="41" spans="1:1" hidden="1" outlineLevel="1">
      <c r="A41" s="103"/>
    </row>
    <row r="42" spans="1:1" hidden="1" outlineLevel="1">
      <c r="A42" s="103"/>
    </row>
    <row r="43" spans="1:1" hidden="1" outlineLevel="1">
      <c r="A43" s="103"/>
    </row>
    <row r="44" spans="1:1" hidden="1" outlineLevel="1">
      <c r="A44" s="103"/>
    </row>
    <row r="45" spans="1:1" hidden="1" outlineLevel="1">
      <c r="A45" s="103"/>
    </row>
    <row r="46" spans="1:1" hidden="1" outlineLevel="1">
      <c r="A46" s="103"/>
    </row>
    <row r="47" spans="1:1" hidden="1" outlineLevel="1">
      <c r="A47" s="103"/>
    </row>
    <row r="48" spans="1:1" hidden="1" outlineLevel="1">
      <c r="A48" s="103"/>
    </row>
    <row r="49" spans="1:1" hidden="1" outlineLevel="1">
      <c r="A49" s="103"/>
    </row>
    <row r="50" spans="1:1" hidden="1" outlineLevel="1">
      <c r="A50" s="103"/>
    </row>
    <row r="51" spans="1:1" hidden="1" outlineLevel="1">
      <c r="A51" s="103"/>
    </row>
    <row r="52" spans="1:1" hidden="1" outlineLevel="1">
      <c r="A52" s="103"/>
    </row>
    <row r="53" spans="1:1" hidden="1" outlineLevel="1">
      <c r="A53" s="102"/>
    </row>
    <row r="54" spans="1:1" hidden="1" outlineLevel="1">
      <c r="A54" s="102"/>
    </row>
    <row r="55" spans="1:1" hidden="1" outlineLevel="1">
      <c r="A55" s="103"/>
    </row>
    <row r="56" spans="1:1" hidden="1" outlineLevel="1">
      <c r="A56" s="103"/>
    </row>
    <row r="57" spans="1:1" hidden="1" outlineLevel="1">
      <c r="A57" s="103"/>
    </row>
    <row r="58" spans="1:1" hidden="1" outlineLevel="1">
      <c r="A58" s="103"/>
    </row>
    <row r="59" spans="1:1" hidden="1" outlineLevel="1">
      <c r="A59" s="103"/>
    </row>
    <row r="60" spans="1:1" hidden="1" outlineLevel="1">
      <c r="A60" s="103"/>
    </row>
    <row r="61" spans="1:1" hidden="1" outlineLevel="1">
      <c r="A61" s="103"/>
    </row>
    <row r="62" spans="1:1" hidden="1" outlineLevel="1">
      <c r="A62" s="103"/>
    </row>
    <row r="63" spans="1:1" hidden="1" outlineLevel="1">
      <c r="A63" s="103"/>
    </row>
    <row r="64" spans="1:1" hidden="1" outlineLevel="1">
      <c r="A64" s="103"/>
    </row>
    <row r="65" spans="1:1" hidden="1" outlineLevel="1">
      <c r="A65" s="103"/>
    </row>
    <row r="66" spans="1:1" hidden="1" outlineLevel="1">
      <c r="A66" s="103"/>
    </row>
    <row r="67" spans="1:1" hidden="1" outlineLevel="1">
      <c r="A67" s="103"/>
    </row>
    <row r="68" spans="1:1" hidden="1" outlineLevel="1">
      <c r="A68" s="103"/>
    </row>
    <row r="69" spans="1:1" hidden="1" outlineLevel="1">
      <c r="A69" s="103"/>
    </row>
    <row r="70" spans="1:1" hidden="1" outlineLevel="1">
      <c r="A70" s="103"/>
    </row>
    <row r="71" spans="1:1" hidden="1" outlineLevel="1">
      <c r="A71" s="103"/>
    </row>
    <row r="72" spans="1:1" hidden="1" outlineLevel="1">
      <c r="A72" s="103"/>
    </row>
    <row r="73" spans="1:1" hidden="1" outlineLevel="1">
      <c r="A73" s="103"/>
    </row>
    <row r="74" spans="1:1" hidden="1" outlineLevel="1">
      <c r="A74" s="103"/>
    </row>
    <row r="75" spans="1:1" hidden="1" outlineLevel="1">
      <c r="A75" s="103"/>
    </row>
    <row r="76" spans="1:1" hidden="1" outlineLevel="1">
      <c r="A76" s="103"/>
    </row>
    <row r="77" spans="1:1" hidden="1" outlineLevel="1">
      <c r="A77" s="103"/>
    </row>
    <row r="78" spans="1:1" hidden="1" outlineLevel="1">
      <c r="A78" s="103"/>
    </row>
    <row r="79" spans="1:1" hidden="1" outlineLevel="1">
      <c r="A79" s="103"/>
    </row>
    <row r="80" spans="1:1" hidden="1" outlineLevel="1">
      <c r="A80" s="103"/>
    </row>
    <row r="81" spans="1:1" hidden="1" outlineLevel="1">
      <c r="A81" s="103"/>
    </row>
    <row r="82" spans="1:1" hidden="1" outlineLevel="1">
      <c r="A82" s="103"/>
    </row>
    <row r="83" spans="1:1" hidden="1" outlineLevel="1">
      <c r="A83" s="103"/>
    </row>
    <row r="84" spans="1:1" hidden="1" outlineLevel="1">
      <c r="A84" s="103"/>
    </row>
    <row r="85" spans="1:1" hidden="1" outlineLevel="1">
      <c r="A85" s="103"/>
    </row>
    <row r="86" spans="1:1" hidden="1" outlineLevel="1">
      <c r="A86" s="103"/>
    </row>
    <row r="87" spans="1:1" hidden="1" outlineLevel="1">
      <c r="A87" s="103"/>
    </row>
    <row r="88" spans="1:1" hidden="1" outlineLevel="1">
      <c r="A88" s="103"/>
    </row>
    <row r="89" spans="1:1" hidden="1" outlineLevel="1">
      <c r="A89" s="103"/>
    </row>
    <row r="90" spans="1:1" hidden="1" outlineLevel="1">
      <c r="A90" s="103"/>
    </row>
    <row r="91" spans="1:1" hidden="1" outlineLevel="1">
      <c r="A91" s="103"/>
    </row>
    <row r="92" spans="1:1" hidden="1" outlineLevel="1">
      <c r="A92" s="103"/>
    </row>
    <row r="93" spans="1:1" hidden="1" outlineLevel="1">
      <c r="A93" s="103"/>
    </row>
    <row r="94" spans="1:1" hidden="1" outlineLevel="1">
      <c r="A94" s="103"/>
    </row>
    <row r="95" spans="1:1" hidden="1" outlineLevel="1">
      <c r="A95" s="103"/>
    </row>
    <row r="96" spans="1:1" hidden="1" outlineLevel="1">
      <c r="A96" s="103"/>
    </row>
    <row r="97" spans="1:1" hidden="1" outlineLevel="1">
      <c r="A97" s="103"/>
    </row>
    <row r="98" spans="1:1" hidden="1" outlineLevel="1">
      <c r="A98" s="103"/>
    </row>
    <row r="99" spans="1:1" hidden="1" outlineLevel="1">
      <c r="A99" s="103"/>
    </row>
    <row r="100" spans="1:1" hidden="1" outlineLevel="1">
      <c r="A100" s="103"/>
    </row>
    <row r="101" spans="1:1" hidden="1" outlineLevel="1">
      <c r="A101" s="103"/>
    </row>
    <row r="102" spans="1:1" hidden="1" outlineLevel="1">
      <c r="A102" s="103"/>
    </row>
    <row r="103" spans="1:1" hidden="1" outlineLevel="1">
      <c r="A103" s="103"/>
    </row>
    <row r="104" spans="1:1" hidden="1" outlineLevel="1">
      <c r="A104" s="103"/>
    </row>
    <row r="105" spans="1:1" hidden="1" outlineLevel="1">
      <c r="A105" s="103"/>
    </row>
    <row r="106" spans="1:1" hidden="1" outlineLevel="1">
      <c r="A106" s="102"/>
    </row>
    <row r="107" spans="1:1" hidden="1" outlineLevel="1">
      <c r="A107" s="102"/>
    </row>
    <row r="108" spans="1:1" hidden="1" outlineLevel="1">
      <c r="A108" s="103"/>
    </row>
    <row r="109" spans="1:1" hidden="1" outlineLevel="1">
      <c r="A109" s="103"/>
    </row>
    <row r="110" spans="1:1" hidden="1" outlineLevel="1">
      <c r="A110" s="103"/>
    </row>
    <row r="111" spans="1:1" hidden="1" outlineLevel="1">
      <c r="A111" s="103"/>
    </row>
    <row r="112" spans="1:1" hidden="1" outlineLevel="1">
      <c r="A112" s="103"/>
    </row>
    <row r="113" spans="1:1" hidden="1" outlineLevel="1">
      <c r="A113" s="103"/>
    </row>
    <row r="114" spans="1:1" hidden="1" outlineLevel="1">
      <c r="A114" s="103"/>
    </row>
    <row r="115" spans="1:1" hidden="1" outlineLevel="1">
      <c r="A115" s="103"/>
    </row>
    <row r="116" spans="1:1" hidden="1" outlineLevel="1">
      <c r="A116" s="103"/>
    </row>
    <row r="117" spans="1:1" hidden="1" outlineLevel="1">
      <c r="A117" s="103"/>
    </row>
    <row r="118" spans="1:1" hidden="1" outlineLevel="1">
      <c r="A118" s="103"/>
    </row>
    <row r="119" spans="1:1" hidden="1" outlineLevel="1">
      <c r="A119" s="103"/>
    </row>
    <row r="120" spans="1:1" hidden="1" outlineLevel="1">
      <c r="A120" s="103"/>
    </row>
    <row r="121" spans="1:1" hidden="1" outlineLevel="1">
      <c r="A121" s="103"/>
    </row>
    <row r="122" spans="1:1" hidden="1" outlineLevel="1">
      <c r="A122" s="103"/>
    </row>
    <row r="123" spans="1:1" hidden="1" outlineLevel="1">
      <c r="A123" s="103"/>
    </row>
    <row r="124" spans="1:1" hidden="1" outlineLevel="1">
      <c r="A124" s="103"/>
    </row>
    <row r="125" spans="1:1" hidden="1" outlineLevel="1">
      <c r="A125" s="103"/>
    </row>
    <row r="126" spans="1:1" hidden="1" outlineLevel="1">
      <c r="A126" s="103"/>
    </row>
    <row r="127" spans="1:1" hidden="1" outlineLevel="1">
      <c r="A127" s="103"/>
    </row>
    <row r="128" spans="1:1" hidden="1" outlineLevel="1">
      <c r="A128" s="103"/>
    </row>
    <row r="129" spans="1:1" hidden="1" outlineLevel="1">
      <c r="A129" s="103"/>
    </row>
    <row r="130" spans="1:1" hidden="1" outlineLevel="1">
      <c r="A130" s="103"/>
    </row>
    <row r="131" spans="1:1" hidden="1" outlineLevel="1">
      <c r="A131" s="103"/>
    </row>
    <row r="132" spans="1:1" hidden="1" outlineLevel="1">
      <c r="A132" s="103"/>
    </row>
    <row r="133" spans="1:1" hidden="1" outlineLevel="1">
      <c r="A133" s="103"/>
    </row>
    <row r="134" spans="1:1" hidden="1" outlineLevel="1">
      <c r="A134" s="103"/>
    </row>
    <row r="135" spans="1:1" hidden="1" outlineLevel="1">
      <c r="A135" s="103"/>
    </row>
    <row r="136" spans="1:1" hidden="1" outlineLevel="1">
      <c r="A136" s="103"/>
    </row>
    <row r="137" spans="1:1" hidden="1" outlineLevel="1">
      <c r="A137" s="103"/>
    </row>
    <row r="138" spans="1:1" hidden="1" outlineLevel="1">
      <c r="A138" s="103"/>
    </row>
    <row r="139" spans="1:1" hidden="1" outlineLevel="1">
      <c r="A139" s="103"/>
    </row>
    <row r="140" spans="1:1" hidden="1" outlineLevel="1">
      <c r="A140" s="103"/>
    </row>
    <row r="141" spans="1:1" hidden="1" outlineLevel="1">
      <c r="A141" s="103"/>
    </row>
    <row r="142" spans="1:1" hidden="1" outlineLevel="1">
      <c r="A142" s="103"/>
    </row>
    <row r="143" spans="1:1" hidden="1" outlineLevel="1">
      <c r="A143" s="103"/>
    </row>
    <row r="144" spans="1:1" hidden="1" outlineLevel="1">
      <c r="A144" s="103"/>
    </row>
    <row r="145" spans="1:1" hidden="1" outlineLevel="1">
      <c r="A145" s="103"/>
    </row>
    <row r="146" spans="1:1" hidden="1" outlineLevel="1">
      <c r="A146" s="103"/>
    </row>
    <row r="147" spans="1:1" hidden="1" outlineLevel="1">
      <c r="A147" s="103"/>
    </row>
    <row r="148" spans="1:1" hidden="1" outlineLevel="1">
      <c r="A148" s="103"/>
    </row>
    <row r="149" spans="1:1" hidden="1" outlineLevel="1">
      <c r="A149" s="103"/>
    </row>
    <row r="150" spans="1:1" hidden="1" outlineLevel="1">
      <c r="A150" s="103"/>
    </row>
    <row r="151" spans="1:1" hidden="1" outlineLevel="1">
      <c r="A151" s="103"/>
    </row>
    <row r="152" spans="1:1" hidden="1" outlineLevel="1">
      <c r="A152" s="103"/>
    </row>
    <row r="153" spans="1:1" hidden="1" outlineLevel="1">
      <c r="A153" s="103"/>
    </row>
    <row r="154" spans="1:1" hidden="1" outlineLevel="1">
      <c r="A154" s="103"/>
    </row>
    <row r="155" spans="1:1" hidden="1" outlineLevel="1">
      <c r="A155" s="103"/>
    </row>
    <row r="156" spans="1:1" hidden="1" outlineLevel="1">
      <c r="A156" s="103"/>
    </row>
    <row r="157" spans="1:1" hidden="1" outlineLevel="1">
      <c r="A157" s="103"/>
    </row>
    <row r="158" spans="1:1" hidden="1" outlineLevel="1">
      <c r="A158" s="103"/>
    </row>
    <row r="159" spans="1:1" hidden="1" outlineLevel="1">
      <c r="A159" s="102"/>
    </row>
    <row r="160" spans="1:1" hidden="1" outlineLevel="1">
      <c r="A160" s="102"/>
    </row>
    <row r="161" spans="1:1" hidden="1" outlineLevel="1">
      <c r="A161" s="103"/>
    </row>
    <row r="162" spans="1:1" hidden="1" outlineLevel="1">
      <c r="A162" s="103"/>
    </row>
    <row r="163" spans="1:1" hidden="1" outlineLevel="1">
      <c r="A163" s="103"/>
    </row>
    <row r="164" spans="1:1" hidden="1" outlineLevel="1">
      <c r="A164" s="103"/>
    </row>
    <row r="165" spans="1:1" hidden="1" outlineLevel="1">
      <c r="A165" s="103"/>
    </row>
    <row r="166" spans="1:1" hidden="1" outlineLevel="1">
      <c r="A166" s="103"/>
    </row>
    <row r="167" spans="1:1" hidden="1" outlineLevel="1">
      <c r="A167" s="103"/>
    </row>
    <row r="168" spans="1:1" hidden="1" outlineLevel="1">
      <c r="A168" s="103"/>
    </row>
    <row r="169" spans="1:1" hidden="1" outlineLevel="1">
      <c r="A169" s="103"/>
    </row>
    <row r="170" spans="1:1" hidden="1" outlineLevel="1">
      <c r="A170" s="103"/>
    </row>
    <row r="171" spans="1:1" hidden="1" outlineLevel="1">
      <c r="A171" s="103"/>
    </row>
    <row r="172" spans="1:1" hidden="1" outlineLevel="1">
      <c r="A172" s="103"/>
    </row>
    <row r="173" spans="1:1" hidden="1" outlineLevel="1">
      <c r="A173" s="103"/>
    </row>
    <row r="174" spans="1:1" hidden="1" outlineLevel="1">
      <c r="A174" s="103"/>
    </row>
    <row r="175" spans="1:1" hidden="1" outlineLevel="1">
      <c r="A175" s="103"/>
    </row>
    <row r="176" spans="1:1" hidden="1" outlineLevel="1">
      <c r="A176" s="103"/>
    </row>
    <row r="177" spans="1:1" hidden="1" outlineLevel="1">
      <c r="A177" s="103"/>
    </row>
    <row r="178" spans="1:1" hidden="1" outlineLevel="1">
      <c r="A178" s="103"/>
    </row>
    <row r="179" spans="1:1" hidden="1" outlineLevel="1">
      <c r="A179" s="103"/>
    </row>
    <row r="180" spans="1:1" hidden="1" outlineLevel="1">
      <c r="A180" s="103"/>
    </row>
    <row r="181" spans="1:1" hidden="1" outlineLevel="1">
      <c r="A181" s="103"/>
    </row>
    <row r="182" spans="1:1" hidden="1" outlineLevel="1">
      <c r="A182" s="103"/>
    </row>
    <row r="183" spans="1:1" hidden="1" outlineLevel="1">
      <c r="A183" s="103"/>
    </row>
    <row r="184" spans="1:1" hidden="1" outlineLevel="1">
      <c r="A184" s="103"/>
    </row>
    <row r="185" spans="1:1" hidden="1" outlineLevel="1">
      <c r="A185" s="103"/>
    </row>
    <row r="186" spans="1:1" hidden="1" outlineLevel="1">
      <c r="A186" s="103"/>
    </row>
    <row r="187" spans="1:1" hidden="1" outlineLevel="1">
      <c r="A187" s="103"/>
    </row>
    <row r="188" spans="1:1" hidden="1" outlineLevel="1">
      <c r="A188" s="103"/>
    </row>
    <row r="189" spans="1:1" hidden="1" outlineLevel="1">
      <c r="A189" s="103"/>
    </row>
    <row r="190" spans="1:1" hidden="1" outlineLevel="1">
      <c r="A190" s="103"/>
    </row>
    <row r="191" spans="1:1" hidden="1" outlineLevel="1">
      <c r="A191" s="103"/>
    </row>
    <row r="192" spans="1:1" hidden="1" outlineLevel="1">
      <c r="A192" s="103"/>
    </row>
    <row r="193" spans="1:1" hidden="1" outlineLevel="1">
      <c r="A193" s="103"/>
    </row>
    <row r="194" spans="1:1" hidden="1" outlineLevel="1">
      <c r="A194" s="103"/>
    </row>
    <row r="195" spans="1:1" hidden="1" outlineLevel="1">
      <c r="A195" s="103"/>
    </row>
    <row r="196" spans="1:1" hidden="1" outlineLevel="1">
      <c r="A196" s="103"/>
    </row>
    <row r="197" spans="1:1" hidden="1" outlineLevel="1">
      <c r="A197" s="103"/>
    </row>
    <row r="198" spans="1:1" hidden="1" outlineLevel="1">
      <c r="A198" s="103"/>
    </row>
    <row r="199" spans="1:1" hidden="1" outlineLevel="1">
      <c r="A199" s="103"/>
    </row>
    <row r="200" spans="1:1" hidden="1" outlineLevel="1">
      <c r="A200" s="103"/>
    </row>
    <row r="201" spans="1:1" hidden="1" outlineLevel="1">
      <c r="A201" s="103"/>
    </row>
    <row r="202" spans="1:1" hidden="1" outlineLevel="1">
      <c r="A202" s="103"/>
    </row>
    <row r="203" spans="1:1" hidden="1" outlineLevel="1">
      <c r="A203" s="103"/>
    </row>
    <row r="204" spans="1:1" hidden="1" outlineLevel="1">
      <c r="A204" s="103"/>
    </row>
    <row r="205" spans="1:1" hidden="1" outlineLevel="1">
      <c r="A205" s="103"/>
    </row>
    <row r="206" spans="1:1" hidden="1" outlineLevel="1">
      <c r="A206" s="103"/>
    </row>
    <row r="207" spans="1:1" hidden="1" outlineLevel="1">
      <c r="A207" s="103"/>
    </row>
    <row r="208" spans="1:1" hidden="1" outlineLevel="1">
      <c r="A208" s="103"/>
    </row>
    <row r="209" spans="1:1" hidden="1" outlineLevel="1">
      <c r="A209" s="103"/>
    </row>
    <row r="210" spans="1:1" hidden="1" outlineLevel="1">
      <c r="A210" s="103"/>
    </row>
    <row r="211" spans="1:1" hidden="1" outlineLevel="1">
      <c r="A211" s="103"/>
    </row>
    <row r="212" spans="1:1" hidden="1" outlineLevel="1">
      <c r="A212" s="102"/>
    </row>
    <row r="213" spans="1:1" hidden="1" outlineLevel="1">
      <c r="A213" s="102"/>
    </row>
    <row r="214" spans="1:1" hidden="1" outlineLevel="1">
      <c r="A214" s="103"/>
    </row>
    <row r="215" spans="1:1" hidden="1" outlineLevel="1">
      <c r="A215" s="103"/>
    </row>
    <row r="216" spans="1:1" hidden="1" outlineLevel="1">
      <c r="A216" s="103"/>
    </row>
    <row r="217" spans="1:1" hidden="1" outlineLevel="1">
      <c r="A217" s="103"/>
    </row>
    <row r="218" spans="1:1" hidden="1" outlineLevel="1">
      <c r="A218" s="103"/>
    </row>
    <row r="219" spans="1:1" hidden="1" outlineLevel="1">
      <c r="A219" s="103"/>
    </row>
    <row r="220" spans="1:1" hidden="1" outlineLevel="1">
      <c r="A220" s="103"/>
    </row>
    <row r="221" spans="1:1" hidden="1" outlineLevel="1">
      <c r="A221" s="103"/>
    </row>
    <row r="222" spans="1:1" hidden="1" outlineLevel="1">
      <c r="A222" s="103"/>
    </row>
    <row r="223" spans="1:1" hidden="1" outlineLevel="1">
      <c r="A223" s="103"/>
    </row>
    <row r="224" spans="1:1" hidden="1" outlineLevel="1">
      <c r="A224" s="103"/>
    </row>
    <row r="225" spans="1:1" hidden="1" outlineLevel="1">
      <c r="A225" s="103"/>
    </row>
    <row r="226" spans="1:1" hidden="1" outlineLevel="1">
      <c r="A226" s="103"/>
    </row>
    <row r="227" spans="1:1" hidden="1" outlineLevel="1">
      <c r="A227" s="103"/>
    </row>
    <row r="228" spans="1:1" hidden="1" outlineLevel="1">
      <c r="A228" s="103"/>
    </row>
    <row r="229" spans="1:1" hidden="1" outlineLevel="1">
      <c r="A229" s="103"/>
    </row>
    <row r="230" spans="1:1" hidden="1" outlineLevel="1">
      <c r="A230" s="103"/>
    </row>
    <row r="231" spans="1:1" hidden="1" outlineLevel="1">
      <c r="A231" s="103"/>
    </row>
    <row r="232" spans="1:1" hidden="1" outlineLevel="1">
      <c r="A232" s="103"/>
    </row>
    <row r="233" spans="1:1" hidden="1" outlineLevel="1">
      <c r="A233" s="103"/>
    </row>
    <row r="234" spans="1:1" hidden="1" outlineLevel="1">
      <c r="A234" s="103"/>
    </row>
    <row r="235" spans="1:1" hidden="1" outlineLevel="1">
      <c r="A235" s="103"/>
    </row>
    <row r="236" spans="1:1" hidden="1" outlineLevel="1">
      <c r="A236" s="103"/>
    </row>
    <row r="237" spans="1:1" hidden="1" outlineLevel="1">
      <c r="A237" s="103"/>
    </row>
    <row r="238" spans="1:1" hidden="1" outlineLevel="1">
      <c r="A238" s="103"/>
    </row>
    <row r="239" spans="1:1" hidden="1" outlineLevel="1">
      <c r="A239" s="103"/>
    </row>
    <row r="240" spans="1:1" hidden="1" outlineLevel="1">
      <c r="A240" s="103"/>
    </row>
    <row r="241" spans="1:1" hidden="1" outlineLevel="1">
      <c r="A241" s="103"/>
    </row>
    <row r="242" spans="1:1" hidden="1" outlineLevel="1">
      <c r="A242" s="103"/>
    </row>
    <row r="243" spans="1:1" hidden="1" outlineLevel="1">
      <c r="A243" s="103"/>
    </row>
    <row r="244" spans="1:1" hidden="1" outlineLevel="1">
      <c r="A244" s="103"/>
    </row>
    <row r="245" spans="1:1" hidden="1" outlineLevel="1">
      <c r="A245" s="103"/>
    </row>
    <row r="246" spans="1:1" hidden="1" outlineLevel="1">
      <c r="A246" s="103"/>
    </row>
    <row r="247" spans="1:1" hidden="1" outlineLevel="1">
      <c r="A247" s="103"/>
    </row>
    <row r="248" spans="1:1" hidden="1" outlineLevel="1">
      <c r="A248" s="103"/>
    </row>
    <row r="249" spans="1:1" hidden="1" outlineLevel="1">
      <c r="A249" s="103"/>
    </row>
    <row r="250" spans="1:1" hidden="1" outlineLevel="1">
      <c r="A250" s="103"/>
    </row>
    <row r="251" spans="1:1" hidden="1" outlineLevel="1">
      <c r="A251" s="103"/>
    </row>
    <row r="252" spans="1:1" hidden="1" outlineLevel="1">
      <c r="A252" s="103"/>
    </row>
    <row r="253" spans="1:1" hidden="1" outlineLevel="1">
      <c r="A253" s="103"/>
    </row>
    <row r="254" spans="1:1" hidden="1" outlineLevel="1">
      <c r="A254" s="103"/>
    </row>
    <row r="255" spans="1:1" hidden="1" outlineLevel="1">
      <c r="A255" s="103"/>
    </row>
    <row r="256" spans="1:1" hidden="1" outlineLevel="1">
      <c r="A256" s="103"/>
    </row>
    <row r="257" spans="1:1" hidden="1" outlineLevel="1">
      <c r="A257" s="103"/>
    </row>
    <row r="258" spans="1:1" hidden="1" outlineLevel="1">
      <c r="A258" s="103"/>
    </row>
    <row r="259" spans="1:1" hidden="1" outlineLevel="1">
      <c r="A259" s="103"/>
    </row>
    <row r="260" spans="1:1" hidden="1" outlineLevel="1">
      <c r="A260" s="103"/>
    </row>
    <row r="261" spans="1:1" hidden="1" outlineLevel="1">
      <c r="A261" s="103"/>
    </row>
    <row r="262" spans="1:1" hidden="1" outlineLevel="1">
      <c r="A262" s="103"/>
    </row>
    <row r="263" spans="1:1" hidden="1" outlineLevel="1">
      <c r="A263" s="103"/>
    </row>
    <row r="264" spans="1:1" hidden="1" outlineLevel="1">
      <c r="A264" s="103"/>
    </row>
    <row r="265" spans="1:1" hidden="1" outlineLevel="1">
      <c r="A265" s="102"/>
    </row>
    <row r="266" spans="1:1" hidden="1" outlineLevel="1">
      <c r="A266" s="102"/>
    </row>
    <row r="267" spans="1:1" hidden="1" outlineLevel="1">
      <c r="A267" s="103"/>
    </row>
    <row r="268" spans="1:1" hidden="1" outlineLevel="1">
      <c r="A268" s="103"/>
    </row>
    <row r="269" spans="1:1" hidden="1" outlineLevel="1">
      <c r="A269" s="103"/>
    </row>
    <row r="270" spans="1:1" hidden="1" outlineLevel="1">
      <c r="A270" s="103"/>
    </row>
    <row r="271" spans="1:1" hidden="1" outlineLevel="1">
      <c r="A271" s="103"/>
    </row>
    <row r="272" spans="1:1" hidden="1" outlineLevel="1">
      <c r="A272" s="103"/>
    </row>
    <row r="273" spans="1:1" hidden="1" outlineLevel="1">
      <c r="A273" s="103"/>
    </row>
    <row r="274" spans="1:1" hidden="1" outlineLevel="1">
      <c r="A274" s="103"/>
    </row>
    <row r="275" spans="1:1" hidden="1" outlineLevel="1">
      <c r="A275" s="103"/>
    </row>
    <row r="276" spans="1:1" hidden="1" outlineLevel="1">
      <c r="A276" s="103"/>
    </row>
    <row r="277" spans="1:1" hidden="1" outlineLevel="1">
      <c r="A277" s="103"/>
    </row>
    <row r="278" spans="1:1" hidden="1" outlineLevel="1">
      <c r="A278" s="103"/>
    </row>
    <row r="279" spans="1:1" hidden="1" outlineLevel="1">
      <c r="A279" s="103"/>
    </row>
    <row r="280" spans="1:1" hidden="1" outlineLevel="1">
      <c r="A280" s="103"/>
    </row>
    <row r="281" spans="1:1" hidden="1" outlineLevel="1">
      <c r="A281" s="103"/>
    </row>
    <row r="282" spans="1:1" hidden="1" outlineLevel="1">
      <c r="A282" s="103"/>
    </row>
    <row r="283" spans="1:1" hidden="1" outlineLevel="1">
      <c r="A283" s="103"/>
    </row>
    <row r="284" spans="1:1" hidden="1" outlineLevel="1">
      <c r="A284" s="103"/>
    </row>
    <row r="285" spans="1:1" hidden="1" outlineLevel="1">
      <c r="A285" s="103"/>
    </row>
    <row r="286" spans="1:1" hidden="1" outlineLevel="1">
      <c r="A286" s="103"/>
    </row>
    <row r="287" spans="1:1" hidden="1" outlineLevel="1">
      <c r="A287" s="103"/>
    </row>
    <row r="288" spans="1:1" hidden="1" outlineLevel="1">
      <c r="A288" s="103"/>
    </row>
    <row r="289" spans="1:1" hidden="1" outlineLevel="1">
      <c r="A289" s="103"/>
    </row>
    <row r="290" spans="1:1" hidden="1" outlineLevel="1">
      <c r="A290" s="103"/>
    </row>
    <row r="291" spans="1:1" hidden="1" outlineLevel="1">
      <c r="A291" s="103"/>
    </row>
    <row r="292" spans="1:1" hidden="1" outlineLevel="1">
      <c r="A292" s="103"/>
    </row>
    <row r="293" spans="1:1" hidden="1" outlineLevel="1">
      <c r="A293" s="103"/>
    </row>
    <row r="294" spans="1:1" hidden="1" outlineLevel="1">
      <c r="A294" s="103"/>
    </row>
    <row r="295" spans="1:1" hidden="1" outlineLevel="1">
      <c r="A295" s="103"/>
    </row>
    <row r="296" spans="1:1" hidden="1" outlineLevel="1">
      <c r="A296" s="103"/>
    </row>
    <row r="297" spans="1:1" hidden="1" outlineLevel="1">
      <c r="A297" s="103"/>
    </row>
    <row r="298" spans="1:1" hidden="1" outlineLevel="1">
      <c r="A298" s="103"/>
    </row>
    <row r="299" spans="1:1" hidden="1" outlineLevel="1">
      <c r="A299" s="103"/>
    </row>
    <row r="300" spans="1:1" hidden="1" outlineLevel="1">
      <c r="A300" s="103"/>
    </row>
    <row r="301" spans="1:1" hidden="1" outlineLevel="1">
      <c r="A301" s="103"/>
    </row>
    <row r="302" spans="1:1" hidden="1" outlineLevel="1">
      <c r="A302" s="103"/>
    </row>
    <row r="303" spans="1:1" hidden="1" outlineLevel="1">
      <c r="A303" s="103"/>
    </row>
    <row r="304" spans="1:1" hidden="1" outlineLevel="1">
      <c r="A304" s="103"/>
    </row>
    <row r="305" spans="1:1" hidden="1" outlineLevel="1">
      <c r="A305" s="103"/>
    </row>
    <row r="306" spans="1:1" hidden="1" outlineLevel="1">
      <c r="A306" s="103"/>
    </row>
    <row r="307" spans="1:1" hidden="1" outlineLevel="1">
      <c r="A307" s="103"/>
    </row>
    <row r="308" spans="1:1" hidden="1" outlineLevel="1">
      <c r="A308" s="103"/>
    </row>
    <row r="309" spans="1:1" hidden="1" outlineLevel="1">
      <c r="A309" s="103"/>
    </row>
    <row r="310" spans="1:1" hidden="1" outlineLevel="1">
      <c r="A310" s="103"/>
    </row>
    <row r="311" spans="1:1" hidden="1" outlineLevel="1">
      <c r="A311" s="103"/>
    </row>
    <row r="312" spans="1:1" hidden="1" outlineLevel="1">
      <c r="A312" s="103"/>
    </row>
    <row r="313" spans="1:1" hidden="1" outlineLevel="1">
      <c r="A313" s="103"/>
    </row>
    <row r="314" spans="1:1" hidden="1" outlineLevel="1">
      <c r="A314" s="103"/>
    </row>
    <row r="315" spans="1:1" hidden="1" outlineLevel="1">
      <c r="A315" s="103"/>
    </row>
    <row r="316" spans="1:1" hidden="1" outlineLevel="1">
      <c r="A316" s="103"/>
    </row>
    <row r="317" spans="1:1" hidden="1" outlineLevel="1">
      <c r="A317" s="103"/>
    </row>
    <row r="318" spans="1:1" hidden="1" outlineLevel="1">
      <c r="A318" s="102"/>
    </row>
    <row r="319" spans="1:1" hidden="1" outlineLevel="1">
      <c r="A319" s="102"/>
    </row>
    <row r="320" spans="1:1" hidden="1" outlineLevel="1">
      <c r="A320" s="103"/>
    </row>
    <row r="321" spans="1:1" hidden="1" outlineLevel="1">
      <c r="A321" s="103"/>
    </row>
    <row r="322" spans="1:1" hidden="1" outlineLevel="1">
      <c r="A322" s="103"/>
    </row>
    <row r="323" spans="1:1" hidden="1" outlineLevel="1">
      <c r="A323" s="103"/>
    </row>
    <row r="324" spans="1:1" hidden="1" outlineLevel="1">
      <c r="A324" s="103"/>
    </row>
    <row r="325" spans="1:1" hidden="1" outlineLevel="1">
      <c r="A325" s="103"/>
    </row>
    <row r="326" spans="1:1" hidden="1" outlineLevel="1">
      <c r="A326" s="103"/>
    </row>
    <row r="327" spans="1:1" hidden="1" outlineLevel="1">
      <c r="A327" s="103"/>
    </row>
    <row r="328" spans="1:1" hidden="1" outlineLevel="1">
      <c r="A328" s="103"/>
    </row>
    <row r="329" spans="1:1" hidden="1" outlineLevel="1">
      <c r="A329" s="103"/>
    </row>
    <row r="330" spans="1:1" hidden="1" outlineLevel="1">
      <c r="A330" s="103"/>
    </row>
    <row r="331" spans="1:1" hidden="1" outlineLevel="1">
      <c r="A331" s="103"/>
    </row>
    <row r="332" spans="1:1" hidden="1" outlineLevel="1">
      <c r="A332" s="103"/>
    </row>
    <row r="333" spans="1:1" hidden="1" outlineLevel="1">
      <c r="A333" s="103"/>
    </row>
    <row r="334" spans="1:1" hidden="1" outlineLevel="1">
      <c r="A334" s="103"/>
    </row>
    <row r="335" spans="1:1" hidden="1" outlineLevel="1">
      <c r="A335" s="103"/>
    </row>
    <row r="336" spans="1:1" hidden="1" outlineLevel="1">
      <c r="A336" s="103"/>
    </row>
    <row r="337" spans="1:1" hidden="1" outlineLevel="1">
      <c r="A337" s="103"/>
    </row>
    <row r="338" spans="1:1" hidden="1" outlineLevel="1">
      <c r="A338" s="103"/>
    </row>
    <row r="339" spans="1:1" hidden="1" outlineLevel="1">
      <c r="A339" s="103"/>
    </row>
    <row r="340" spans="1:1" hidden="1" outlineLevel="1">
      <c r="A340" s="103"/>
    </row>
    <row r="341" spans="1:1" hidden="1" outlineLevel="1">
      <c r="A341" s="103"/>
    </row>
    <row r="342" spans="1:1" hidden="1" outlineLevel="1">
      <c r="A342" s="103"/>
    </row>
    <row r="343" spans="1:1" hidden="1" outlineLevel="1">
      <c r="A343" s="103"/>
    </row>
    <row r="344" spans="1:1" hidden="1" outlineLevel="1">
      <c r="A344" s="103"/>
    </row>
    <row r="345" spans="1:1" hidden="1" outlineLevel="1">
      <c r="A345" s="103"/>
    </row>
    <row r="346" spans="1:1" hidden="1" outlineLevel="1">
      <c r="A346" s="103"/>
    </row>
    <row r="347" spans="1:1" hidden="1" outlineLevel="1">
      <c r="A347" s="103"/>
    </row>
    <row r="348" spans="1:1" hidden="1" outlineLevel="1">
      <c r="A348" s="103"/>
    </row>
    <row r="349" spans="1:1" hidden="1" outlineLevel="1">
      <c r="A349" s="103"/>
    </row>
    <row r="350" spans="1:1" hidden="1" outlineLevel="1">
      <c r="A350" s="103"/>
    </row>
    <row r="351" spans="1:1" hidden="1" outlineLevel="1">
      <c r="A351" s="103"/>
    </row>
    <row r="352" spans="1:1" hidden="1" outlineLevel="1">
      <c r="A352" s="103"/>
    </row>
    <row r="353" spans="1:1" hidden="1" outlineLevel="1">
      <c r="A353" s="103"/>
    </row>
    <row r="354" spans="1:1" hidden="1" outlineLevel="1">
      <c r="A354" s="103"/>
    </row>
    <row r="355" spans="1:1" hidden="1" outlineLevel="1">
      <c r="A355" s="103"/>
    </row>
    <row r="356" spans="1:1" hidden="1" outlineLevel="1">
      <c r="A356" s="103"/>
    </row>
    <row r="357" spans="1:1" hidden="1" outlineLevel="1">
      <c r="A357" s="103"/>
    </row>
    <row r="358" spans="1:1" hidden="1" outlineLevel="1">
      <c r="A358" s="103"/>
    </row>
    <row r="359" spans="1:1" hidden="1" outlineLevel="1">
      <c r="A359" s="103"/>
    </row>
    <row r="360" spans="1:1" hidden="1" outlineLevel="1">
      <c r="A360" s="103"/>
    </row>
    <row r="361" spans="1:1" hidden="1" outlineLevel="1">
      <c r="A361" s="103"/>
    </row>
    <row r="362" spans="1:1" hidden="1" outlineLevel="1">
      <c r="A362" s="103"/>
    </row>
    <row r="363" spans="1:1" hidden="1" outlineLevel="1">
      <c r="A363" s="103"/>
    </row>
    <row r="364" spans="1:1" hidden="1" outlineLevel="1">
      <c r="A364" s="103"/>
    </row>
    <row r="365" spans="1:1" hidden="1" outlineLevel="1">
      <c r="A365" s="103"/>
    </row>
    <row r="366" spans="1:1" hidden="1" outlineLevel="1">
      <c r="A366" s="103"/>
    </row>
    <row r="367" spans="1:1" hidden="1" outlineLevel="1">
      <c r="A367" s="103"/>
    </row>
    <row r="368" spans="1:1" hidden="1" outlineLevel="1">
      <c r="A368" s="103"/>
    </row>
    <row r="369" spans="1:1" hidden="1" outlineLevel="1">
      <c r="A369" s="103"/>
    </row>
    <row r="370" spans="1:1" hidden="1" outlineLevel="1">
      <c r="A370" s="103"/>
    </row>
    <row r="371" spans="1:1" hidden="1" outlineLevel="1"/>
    <row r="372" spans="1:1" hidden="1" outlineLevel="1"/>
    <row r="373" spans="1:1" hidden="1" outlineLevel="1"/>
    <row r="374" spans="1:1" hidden="1" outlineLevel="1"/>
    <row r="375" spans="1:1" hidden="1" outlineLevel="1"/>
    <row r="376" spans="1:1" hidden="1" outlineLevel="1"/>
    <row r="377" spans="1:1" hidden="1" outlineLevel="1"/>
    <row r="378" spans="1:1" hidden="1" outlineLevel="1"/>
    <row r="379" spans="1:1" hidden="1" outlineLevel="1"/>
    <row r="380" spans="1:1" hidden="1" outlineLevel="1"/>
    <row r="381" spans="1:1" hidden="1" outlineLevel="1"/>
    <row r="382" spans="1:1" hidden="1" outlineLevel="1"/>
    <row r="383" spans="1:1" hidden="1" outlineLevel="1"/>
    <row r="384" spans="1:1" hidden="1" outlineLevel="1"/>
    <row r="385" hidden="1" outlineLevel="1"/>
    <row r="386" hidden="1" outlineLevel="1"/>
    <row r="387" hidden="1" outlineLevel="1"/>
    <row r="388" hidden="1" outlineLevel="1"/>
    <row r="389" hidden="1" outlineLevel="1"/>
    <row r="390" hidden="1" outlineLevel="1"/>
    <row r="391" hidden="1" outlineLevel="1"/>
    <row r="392" hidden="1" outlineLevel="1"/>
    <row r="393" hidden="1" outlineLevel="1"/>
    <row r="394" hidden="1" outlineLevel="1"/>
    <row r="395" hidden="1" outlineLevel="1"/>
    <row r="396" hidden="1" outlineLevel="1"/>
    <row r="397" hidden="1" outlineLevel="1"/>
    <row r="398" hidden="1" outlineLevel="1"/>
    <row r="399" hidden="1" outlineLevel="1"/>
    <row r="400" hidden="1" outlineLevel="1"/>
    <row r="401" hidden="1" outlineLevel="1"/>
    <row r="402" hidden="1" outlineLevel="1"/>
    <row r="403" hidden="1" outlineLevel="1"/>
    <row r="404" hidden="1" outlineLevel="1"/>
    <row r="405" hidden="1" outlineLevel="1"/>
    <row r="406" hidden="1" outlineLevel="1"/>
    <row r="407" hidden="1" outlineLevel="1"/>
    <row r="408" hidden="1" outlineLevel="1"/>
    <row r="409" hidden="1" outlineLevel="1"/>
    <row r="410" hidden="1" outlineLevel="1"/>
    <row r="411" hidden="1" outlineLevel="1"/>
    <row r="412" hidden="1" outlineLevel="1"/>
    <row r="413" hidden="1" outlineLevel="1"/>
    <row r="414" hidden="1" outlineLevel="1"/>
    <row r="415" hidden="1" outlineLevel="1"/>
    <row r="416" hidden="1" outlineLevel="1"/>
    <row r="417" hidden="1" outlineLevel="1"/>
    <row r="418" hidden="1" outlineLevel="1"/>
    <row r="419" hidden="1" outlineLevel="1"/>
    <row r="420" hidden="1" outlineLevel="1"/>
    <row r="421" hidden="1" outlineLevel="1"/>
    <row r="422" hidden="1" outlineLevel="1"/>
    <row r="423" hidden="1" outlineLevel="1"/>
    <row r="424" hidden="1" outlineLevel="1"/>
    <row r="425" hidden="1" outlineLevel="1"/>
    <row r="426" hidden="1" outlineLevel="1"/>
    <row r="427" hidden="1" outlineLevel="1"/>
    <row r="428" hidden="1" outlineLevel="1"/>
    <row r="429" hidden="1" outlineLevel="1"/>
    <row r="430" hidden="1" outlineLevel="1"/>
    <row r="431" hidden="1" outlineLevel="1"/>
    <row r="432" hidden="1" outlineLevel="1"/>
    <row r="433" hidden="1" outlineLevel="1"/>
    <row r="434" hidden="1" outlineLevel="1"/>
    <row r="435" hidden="1" outlineLevel="1"/>
    <row r="436" hidden="1" outlineLevel="1"/>
    <row r="437" hidden="1" outlineLevel="1"/>
    <row r="438" collapsed="1"/>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Q10" zoomScale="70" zoomScaleNormal="70" workbookViewId="0">
      <selection activeCell="H65" sqref="H65"/>
    </sheetView>
    <sheetView workbookViewId="1"/>
  </sheetViews>
  <sheetFormatPr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33"/>
  <sheetViews>
    <sheetView workbookViewId="0">
      <selection activeCell="D52" sqref="D52"/>
    </sheetView>
    <sheetView topLeftCell="C17" workbookViewId="1">
      <selection activeCell="D23" sqref="D23"/>
    </sheetView>
  </sheetViews>
  <sheetFormatPr defaultRowHeight="15"/>
  <cols>
    <col min="1" max="1" width="56.7109375" customWidth="1"/>
    <col min="2" max="2" width="33" customWidth="1"/>
    <col min="4" max="4" width="57" customWidth="1"/>
    <col min="5" max="5" width="32.140625" customWidth="1"/>
    <col min="7" max="7" width="57.28515625" customWidth="1"/>
    <col min="8" max="8" width="34.5703125" customWidth="1"/>
  </cols>
  <sheetData>
    <row r="1" spans="1:8" ht="100.5" customHeight="1">
      <c r="A1" s="104" t="s">
        <v>236</v>
      </c>
    </row>
    <row r="2" spans="1:8" ht="12.75" customHeight="1">
      <c r="A2" s="105" t="s">
        <v>237</v>
      </c>
    </row>
    <row r="3" spans="1:8" ht="150" customHeight="1">
      <c r="A3" s="106" t="s">
        <v>238</v>
      </c>
      <c r="D3" s="117" t="s">
        <v>239</v>
      </c>
      <c r="E3" s="117"/>
    </row>
    <row r="4" spans="1:8" ht="15.75">
      <c r="A4" s="108" t="s">
        <v>240</v>
      </c>
      <c r="B4" s="108" t="s">
        <v>241</v>
      </c>
      <c r="D4" s="109" t="s">
        <v>242</v>
      </c>
      <c r="G4" s="109" t="s">
        <v>243</v>
      </c>
    </row>
    <row r="5" spans="1:8" ht="31.5">
      <c r="A5" s="110" t="s">
        <v>244</v>
      </c>
      <c r="B5" s="110" t="s">
        <v>245</v>
      </c>
      <c r="D5" s="108" t="s">
        <v>246</v>
      </c>
      <c r="E5" s="108" t="s">
        <v>247</v>
      </c>
      <c r="G5" s="108" t="s">
        <v>248</v>
      </c>
    </row>
    <row r="6" spans="1:8">
      <c r="A6" s="110" t="s">
        <v>249</v>
      </c>
      <c r="B6" s="110" t="s">
        <v>249</v>
      </c>
      <c r="D6" s="110" t="s">
        <v>250</v>
      </c>
      <c r="E6" s="110" t="s">
        <v>251</v>
      </c>
      <c r="G6" s="110" t="s">
        <v>252</v>
      </c>
    </row>
    <row r="7" spans="1:8">
      <c r="A7" s="110" t="s">
        <v>253</v>
      </c>
      <c r="B7" s="110" t="s">
        <v>254</v>
      </c>
      <c r="D7" s="110" t="s">
        <v>249</v>
      </c>
      <c r="E7" s="110" t="s">
        <v>249</v>
      </c>
      <c r="G7" s="110" t="s">
        <v>249</v>
      </c>
    </row>
    <row r="8" spans="1:8" ht="30.75">
      <c r="A8" s="108" t="s">
        <v>255</v>
      </c>
      <c r="B8" s="108" t="s">
        <v>256</v>
      </c>
      <c r="D8" s="108" t="s">
        <v>257</v>
      </c>
      <c r="E8" s="108" t="s">
        <v>258</v>
      </c>
      <c r="G8" s="108" t="s">
        <v>259</v>
      </c>
    </row>
    <row r="9" spans="1:8" ht="15.75">
      <c r="A9" s="108" t="s">
        <v>260</v>
      </c>
      <c r="B9" s="108" t="s">
        <v>260</v>
      </c>
      <c r="D9" s="108" t="s">
        <v>261</v>
      </c>
      <c r="E9" s="108" t="s">
        <v>262</v>
      </c>
      <c r="G9" s="108" t="s">
        <v>263</v>
      </c>
    </row>
    <row r="10" spans="1:8" ht="30.75">
      <c r="A10" s="108" t="s">
        <v>264</v>
      </c>
      <c r="B10" s="108" t="s">
        <v>264</v>
      </c>
      <c r="D10" s="108" t="s">
        <v>260</v>
      </c>
      <c r="E10" s="108" t="s">
        <v>265</v>
      </c>
      <c r="G10" s="108" t="s">
        <v>260</v>
      </c>
    </row>
    <row r="11" spans="1:8" ht="30.75">
      <c r="A11" s="111" t="s">
        <v>129</v>
      </c>
      <c r="B11" s="111" t="s">
        <v>266</v>
      </c>
      <c r="D11" s="108" t="s">
        <v>267</v>
      </c>
      <c r="E11" s="108" t="s">
        <v>268</v>
      </c>
      <c r="G11" s="108" t="s">
        <v>264</v>
      </c>
    </row>
    <row r="12" spans="1:8" ht="15.75">
      <c r="A12" s="112" t="s">
        <v>269</v>
      </c>
      <c r="B12" s="112" t="s">
        <v>270</v>
      </c>
      <c r="D12" s="109" t="s">
        <v>271</v>
      </c>
      <c r="G12" s="109" t="s">
        <v>272</v>
      </c>
    </row>
    <row r="13" spans="1:8" ht="31.5">
      <c r="A13" s="112" t="s">
        <v>249</v>
      </c>
      <c r="B13" s="112" t="s">
        <v>249</v>
      </c>
      <c r="D13" s="108" t="s">
        <v>273</v>
      </c>
      <c r="E13" s="116"/>
      <c r="G13" s="108" t="s">
        <v>274</v>
      </c>
      <c r="H13" s="116"/>
    </row>
    <row r="14" spans="1:8">
      <c r="A14" s="112" t="s">
        <v>275</v>
      </c>
      <c r="B14" s="112" t="s">
        <v>254</v>
      </c>
      <c r="D14" s="110" t="s">
        <v>276</v>
      </c>
      <c r="E14" s="116"/>
      <c r="G14" s="110" t="s">
        <v>277</v>
      </c>
      <c r="H14" s="116"/>
    </row>
    <row r="15" spans="1:8" ht="60.75">
      <c r="A15" s="111" t="s">
        <v>278</v>
      </c>
      <c r="B15" s="111" t="s">
        <v>279</v>
      </c>
      <c r="D15" s="110" t="s">
        <v>249</v>
      </c>
      <c r="E15" s="116"/>
      <c r="G15" s="110" t="s">
        <v>249</v>
      </c>
      <c r="H15" s="116"/>
    </row>
    <row r="16" spans="1:8" ht="30.75">
      <c r="A16" s="111" t="s">
        <v>260</v>
      </c>
      <c r="B16" s="111" t="s">
        <v>280</v>
      </c>
      <c r="D16" s="108" t="s">
        <v>281</v>
      </c>
      <c r="E16" s="116"/>
      <c r="G16" s="108" t="s">
        <v>282</v>
      </c>
      <c r="H16" s="116"/>
    </row>
    <row r="17" spans="1:8" ht="15.75">
      <c r="A17" s="111" t="s">
        <v>264</v>
      </c>
      <c r="B17" s="111" t="s">
        <v>283</v>
      </c>
      <c r="D17" s="108" t="s">
        <v>284</v>
      </c>
      <c r="E17" s="116"/>
      <c r="G17" s="108" t="s">
        <v>285</v>
      </c>
      <c r="H17" s="116"/>
    </row>
    <row r="18" spans="1:8" ht="30.75">
      <c r="A18" s="113"/>
      <c r="B18" s="111" t="s">
        <v>286</v>
      </c>
      <c r="D18" s="108" t="s">
        <v>287</v>
      </c>
      <c r="E18" s="116"/>
      <c r="G18" s="108" t="s">
        <v>260</v>
      </c>
      <c r="H18" s="116"/>
    </row>
    <row r="19" spans="1:8" ht="31.5">
      <c r="A19" s="108" t="s">
        <v>266</v>
      </c>
      <c r="B19" s="118"/>
      <c r="D19" s="109" t="s">
        <v>288</v>
      </c>
      <c r="G19" s="108" t="s">
        <v>264</v>
      </c>
      <c r="H19" s="116"/>
    </row>
    <row r="20" spans="1:8" ht="15.75">
      <c r="A20" s="110" t="s">
        <v>289</v>
      </c>
      <c r="B20" s="118"/>
      <c r="D20" s="108" t="s">
        <v>290</v>
      </c>
      <c r="E20" s="108" t="s">
        <v>291</v>
      </c>
      <c r="G20" s="114"/>
    </row>
    <row r="21" spans="1:8" ht="31.5">
      <c r="A21" s="110" t="s">
        <v>249</v>
      </c>
      <c r="B21" s="118"/>
      <c r="D21" s="110" t="s">
        <v>292</v>
      </c>
      <c r="E21" s="110" t="s">
        <v>293</v>
      </c>
      <c r="G21" s="109" t="s">
        <v>294</v>
      </c>
    </row>
    <row r="22" spans="1:8" ht="31.5">
      <c r="A22" s="110" t="s">
        <v>254</v>
      </c>
      <c r="B22" s="118"/>
      <c r="D22" s="110" t="s">
        <v>249</v>
      </c>
      <c r="E22" s="110" t="s">
        <v>249</v>
      </c>
      <c r="G22" s="108" t="s">
        <v>295</v>
      </c>
      <c r="H22" s="108" t="s">
        <v>296</v>
      </c>
    </row>
    <row r="23" spans="1:8" ht="30.75">
      <c r="A23" s="108" t="s">
        <v>279</v>
      </c>
      <c r="B23" s="118"/>
      <c r="D23" s="108" t="s">
        <v>297</v>
      </c>
      <c r="E23" s="108" t="s">
        <v>298</v>
      </c>
      <c r="G23" s="110" t="s">
        <v>299</v>
      </c>
      <c r="H23" s="110" t="s">
        <v>300</v>
      </c>
    </row>
    <row r="24" spans="1:8" ht="15.75">
      <c r="A24" s="108" t="s">
        <v>301</v>
      </c>
      <c r="B24" s="118"/>
      <c r="D24" s="108" t="s">
        <v>302</v>
      </c>
      <c r="E24" s="108" t="s">
        <v>303</v>
      </c>
      <c r="G24" s="110" t="s">
        <v>304</v>
      </c>
      <c r="H24" s="110" t="s">
        <v>305</v>
      </c>
    </row>
    <row r="25" spans="1:8" ht="30.75">
      <c r="A25" s="108" t="s">
        <v>260</v>
      </c>
      <c r="B25" s="118"/>
      <c r="D25" s="108" t="s">
        <v>260</v>
      </c>
      <c r="E25" s="108" t="s">
        <v>306</v>
      </c>
      <c r="G25" s="108" t="s">
        <v>307</v>
      </c>
      <c r="H25" s="108" t="s">
        <v>307</v>
      </c>
    </row>
    <row r="26" spans="1:8" ht="30.75">
      <c r="A26" s="108" t="s">
        <v>264</v>
      </c>
      <c r="B26" s="118"/>
      <c r="D26" s="108" t="s">
        <v>267</v>
      </c>
      <c r="E26" s="115"/>
      <c r="G26" s="108" t="s">
        <v>260</v>
      </c>
      <c r="H26" s="108" t="s">
        <v>260</v>
      </c>
    </row>
    <row r="27" spans="1:8" ht="46.5">
      <c r="A27" s="105" t="s">
        <v>308</v>
      </c>
      <c r="D27" s="111" t="s">
        <v>291</v>
      </c>
      <c r="E27" s="119"/>
      <c r="G27" s="108" t="s">
        <v>309</v>
      </c>
      <c r="H27" s="108" t="s">
        <v>310</v>
      </c>
    </row>
    <row r="28" spans="1:8" ht="31.5">
      <c r="A28" s="109" t="s">
        <v>311</v>
      </c>
      <c r="D28" s="112" t="s">
        <v>312</v>
      </c>
      <c r="E28" s="119"/>
      <c r="G28" s="111" t="s">
        <v>313</v>
      </c>
      <c r="H28" s="111" t="s">
        <v>296</v>
      </c>
    </row>
    <row r="29" spans="1:8" ht="31.5">
      <c r="A29" s="108" t="s">
        <v>314</v>
      </c>
      <c r="B29" s="108" t="s">
        <v>315</v>
      </c>
      <c r="D29" s="112" t="s">
        <v>249</v>
      </c>
      <c r="E29" s="119"/>
      <c r="G29" s="112" t="s">
        <v>316</v>
      </c>
      <c r="H29" s="112" t="s">
        <v>317</v>
      </c>
    </row>
    <row r="30" spans="1:8" ht="15.75">
      <c r="A30" s="110" t="s">
        <v>318</v>
      </c>
      <c r="B30" s="110" t="s">
        <v>319</v>
      </c>
      <c r="D30" s="111" t="s">
        <v>320</v>
      </c>
      <c r="E30" s="119"/>
      <c r="G30" s="112" t="s">
        <v>249</v>
      </c>
      <c r="H30" s="112" t="s">
        <v>305</v>
      </c>
    </row>
    <row r="31" spans="1:8" ht="15.75">
      <c r="A31" s="110" t="s">
        <v>304</v>
      </c>
      <c r="B31" s="110" t="s">
        <v>249</v>
      </c>
      <c r="D31" s="111" t="s">
        <v>260</v>
      </c>
      <c r="E31" s="119"/>
      <c r="G31" s="111" t="s">
        <v>321</v>
      </c>
      <c r="H31" s="111" t="s">
        <v>322</v>
      </c>
    </row>
    <row r="32" spans="1:8" ht="30.75">
      <c r="A32" s="110" t="s">
        <v>253</v>
      </c>
      <c r="B32" s="108" t="s">
        <v>323</v>
      </c>
      <c r="D32" s="111" t="s">
        <v>267</v>
      </c>
      <c r="E32" s="119"/>
      <c r="G32" s="111" t="s">
        <v>260</v>
      </c>
      <c r="H32" s="111" t="s">
        <v>260</v>
      </c>
    </row>
    <row r="33" spans="1:8" ht="30.75">
      <c r="A33" s="108" t="s">
        <v>324</v>
      </c>
      <c r="B33" s="108" t="s">
        <v>260</v>
      </c>
      <c r="D33" s="109" t="s">
        <v>325</v>
      </c>
      <c r="G33" s="111" t="s">
        <v>264</v>
      </c>
      <c r="H33" s="111" t="s">
        <v>310</v>
      </c>
    </row>
    <row r="34" spans="1:8" ht="31.5">
      <c r="A34" s="108" t="s">
        <v>260</v>
      </c>
      <c r="B34" s="108" t="s">
        <v>264</v>
      </c>
      <c r="D34" s="108" t="s">
        <v>326</v>
      </c>
      <c r="E34" s="108" t="s">
        <v>326</v>
      </c>
      <c r="G34" s="108" t="s">
        <v>327</v>
      </c>
      <c r="H34" s="108" t="s">
        <v>328</v>
      </c>
    </row>
    <row r="35" spans="1:8" ht="15.75">
      <c r="A35" s="108" t="s">
        <v>309</v>
      </c>
      <c r="B35" s="115"/>
      <c r="D35" s="110" t="s">
        <v>329</v>
      </c>
      <c r="E35" s="110" t="s">
        <v>330</v>
      </c>
      <c r="G35" s="110" t="s">
        <v>331</v>
      </c>
      <c r="H35" s="110" t="s">
        <v>332</v>
      </c>
    </row>
    <row r="36" spans="1:8" ht="15.75">
      <c r="A36" s="109" t="s">
        <v>333</v>
      </c>
      <c r="D36" s="110" t="s">
        <v>249</v>
      </c>
      <c r="E36" s="110" t="s">
        <v>249</v>
      </c>
      <c r="G36" s="110" t="s">
        <v>334</v>
      </c>
      <c r="H36" s="110" t="s">
        <v>249</v>
      </c>
    </row>
    <row r="37" spans="1:8" ht="31.5">
      <c r="A37" s="108" t="s">
        <v>335</v>
      </c>
      <c r="B37" s="108" t="s">
        <v>335</v>
      </c>
      <c r="D37" s="108" t="s">
        <v>336</v>
      </c>
      <c r="E37" s="108" t="s">
        <v>337</v>
      </c>
      <c r="G37" s="108" t="s">
        <v>338</v>
      </c>
      <c r="H37" s="108" t="s">
        <v>339</v>
      </c>
    </row>
    <row r="38" spans="1:8" ht="15.75">
      <c r="A38" s="110" t="s">
        <v>340</v>
      </c>
      <c r="B38" s="110" t="s">
        <v>341</v>
      </c>
      <c r="D38" s="108" t="s">
        <v>342</v>
      </c>
      <c r="E38" s="108" t="s">
        <v>260</v>
      </c>
      <c r="G38" s="108" t="s">
        <v>343</v>
      </c>
      <c r="H38" s="108" t="s">
        <v>260</v>
      </c>
    </row>
    <row r="39" spans="1:8" ht="45.75">
      <c r="A39" s="110" t="s">
        <v>249</v>
      </c>
      <c r="B39" s="110" t="s">
        <v>249</v>
      </c>
      <c r="D39" s="108" t="s">
        <v>344</v>
      </c>
      <c r="E39" s="108" t="s">
        <v>267</v>
      </c>
      <c r="G39" s="108" t="s">
        <v>345</v>
      </c>
      <c r="H39" s="108" t="s">
        <v>264</v>
      </c>
    </row>
    <row r="40" spans="1:8" ht="31.5">
      <c r="A40" s="110" t="s">
        <v>346</v>
      </c>
      <c r="B40" s="110" t="s">
        <v>346</v>
      </c>
      <c r="D40" s="111" t="s">
        <v>326</v>
      </c>
      <c r="E40" s="111" t="s">
        <v>347</v>
      </c>
      <c r="G40" s="111" t="s">
        <v>348</v>
      </c>
      <c r="H40" s="111" t="s">
        <v>349</v>
      </c>
    </row>
    <row r="41" spans="1:8" ht="15.75">
      <c r="A41" s="108" t="s">
        <v>350</v>
      </c>
      <c r="B41" s="108" t="s">
        <v>351</v>
      </c>
      <c r="D41" s="112" t="s">
        <v>352</v>
      </c>
      <c r="E41" s="112" t="s">
        <v>353</v>
      </c>
      <c r="G41" s="112" t="s">
        <v>354</v>
      </c>
      <c r="H41" s="112" t="s">
        <v>355</v>
      </c>
    </row>
    <row r="42" spans="1:8" ht="15.75">
      <c r="A42" s="108" t="s">
        <v>260</v>
      </c>
      <c r="B42" s="108" t="s">
        <v>260</v>
      </c>
      <c r="D42" s="112" t="s">
        <v>249</v>
      </c>
      <c r="E42" s="112" t="s">
        <v>249</v>
      </c>
      <c r="G42" s="112" t="s">
        <v>249</v>
      </c>
      <c r="H42" s="112" t="s">
        <v>249</v>
      </c>
    </row>
    <row r="43" spans="1:8" ht="30.75">
      <c r="A43" s="108" t="s">
        <v>264</v>
      </c>
      <c r="B43" s="108" t="s">
        <v>264</v>
      </c>
      <c r="D43" s="111" t="s">
        <v>356</v>
      </c>
      <c r="E43" s="111" t="s">
        <v>357</v>
      </c>
      <c r="G43" s="111" t="s">
        <v>358</v>
      </c>
      <c r="H43" s="111" t="s">
        <v>359</v>
      </c>
    </row>
    <row r="44" spans="1:8" ht="31.5">
      <c r="A44" s="111" t="s">
        <v>335</v>
      </c>
      <c r="B44" s="111" t="s">
        <v>335</v>
      </c>
      <c r="D44" s="111" t="s">
        <v>260</v>
      </c>
      <c r="E44" s="111" t="s">
        <v>260</v>
      </c>
      <c r="G44" s="111" t="s">
        <v>360</v>
      </c>
      <c r="H44" s="111" t="s">
        <v>361</v>
      </c>
    </row>
    <row r="45" spans="1:8" ht="60.75">
      <c r="A45" s="112" t="s">
        <v>362</v>
      </c>
      <c r="B45" s="112" t="s">
        <v>363</v>
      </c>
      <c r="D45" s="111" t="s">
        <v>267</v>
      </c>
      <c r="E45" s="111" t="s">
        <v>267</v>
      </c>
      <c r="G45" s="111" t="s">
        <v>364</v>
      </c>
      <c r="H45" s="111" t="s">
        <v>365</v>
      </c>
    </row>
    <row r="46" spans="1:8" ht="45.75">
      <c r="A46" s="112" t="s">
        <v>249</v>
      </c>
      <c r="B46" s="112" t="s">
        <v>249</v>
      </c>
      <c r="D46" s="108" t="s">
        <v>366</v>
      </c>
      <c r="E46" s="116"/>
      <c r="G46" s="111" t="s">
        <v>367</v>
      </c>
      <c r="H46" s="113"/>
    </row>
    <row r="47" spans="1:8" ht="15.75">
      <c r="A47" s="112" t="s">
        <v>346</v>
      </c>
      <c r="B47" s="112" t="s">
        <v>346</v>
      </c>
      <c r="D47" s="110" t="s">
        <v>368</v>
      </c>
      <c r="E47" s="116"/>
      <c r="G47" s="108" t="s">
        <v>369</v>
      </c>
      <c r="H47" s="108" t="s">
        <v>370</v>
      </c>
    </row>
    <row r="48" spans="1:8" ht="15.75">
      <c r="A48" s="111" t="s">
        <v>371</v>
      </c>
      <c r="B48" s="111" t="s">
        <v>372</v>
      </c>
      <c r="D48" s="110" t="s">
        <v>249</v>
      </c>
      <c r="E48" s="116"/>
      <c r="G48" s="110" t="s">
        <v>373</v>
      </c>
      <c r="H48" s="110" t="s">
        <v>374</v>
      </c>
    </row>
    <row r="49" spans="1:8" ht="60.75">
      <c r="A49" s="111" t="s">
        <v>375</v>
      </c>
      <c r="B49" s="111" t="s">
        <v>376</v>
      </c>
      <c r="D49" s="108" t="s">
        <v>377</v>
      </c>
      <c r="E49" s="116"/>
      <c r="G49" s="110" t="s">
        <v>378</v>
      </c>
      <c r="H49" s="110" t="s">
        <v>249</v>
      </c>
    </row>
    <row r="50" spans="1:8" ht="30.75">
      <c r="A50" s="111" t="s">
        <v>379</v>
      </c>
      <c r="B50" s="111" t="s">
        <v>286</v>
      </c>
      <c r="D50" s="108" t="s">
        <v>380</v>
      </c>
      <c r="E50" s="116"/>
      <c r="G50" s="110" t="s">
        <v>381</v>
      </c>
      <c r="H50" s="108" t="s">
        <v>382</v>
      </c>
    </row>
    <row r="51" spans="1:8" ht="15.75">
      <c r="A51" s="108" t="s">
        <v>383</v>
      </c>
      <c r="B51" s="116"/>
      <c r="D51" s="108" t="s">
        <v>260</v>
      </c>
      <c r="E51" s="116"/>
      <c r="G51" s="110" t="s">
        <v>384</v>
      </c>
      <c r="H51" s="108" t="s">
        <v>385</v>
      </c>
    </row>
    <row r="52" spans="1:8" ht="30.75">
      <c r="A52" s="110" t="s">
        <v>386</v>
      </c>
      <c r="B52" s="116"/>
      <c r="D52" s="108" t="s">
        <v>267</v>
      </c>
      <c r="E52" s="116"/>
      <c r="G52" s="110" t="s">
        <v>249</v>
      </c>
      <c r="H52" s="108" t="s">
        <v>260</v>
      </c>
    </row>
    <row r="53" spans="1:8" ht="31.5">
      <c r="A53" s="110" t="s">
        <v>249</v>
      </c>
      <c r="B53" s="116"/>
      <c r="D53" s="109" t="s">
        <v>387</v>
      </c>
      <c r="G53" s="108" t="s">
        <v>388</v>
      </c>
      <c r="H53" s="108" t="s">
        <v>264</v>
      </c>
    </row>
    <row r="54" spans="1:8" ht="15.75">
      <c r="A54" s="110" t="s">
        <v>389</v>
      </c>
      <c r="B54" s="116"/>
      <c r="D54" s="108" t="s">
        <v>390</v>
      </c>
      <c r="E54" s="108" t="s">
        <v>391</v>
      </c>
      <c r="G54" s="108" t="s">
        <v>260</v>
      </c>
      <c r="H54" s="115"/>
    </row>
    <row r="55" spans="1:8" ht="15.75">
      <c r="A55" s="110" t="s">
        <v>392</v>
      </c>
      <c r="B55" s="116"/>
      <c r="D55" s="110" t="s">
        <v>393</v>
      </c>
      <c r="E55" s="110" t="s">
        <v>394</v>
      </c>
      <c r="G55" s="108" t="s">
        <v>264</v>
      </c>
      <c r="H55" s="115"/>
    </row>
    <row r="56" spans="1:8" ht="15.75">
      <c r="A56" s="108" t="s">
        <v>395</v>
      </c>
      <c r="B56" s="116"/>
      <c r="D56" s="110" t="s">
        <v>249</v>
      </c>
      <c r="E56" s="110" t="s">
        <v>249</v>
      </c>
      <c r="G56" s="109" t="s">
        <v>396</v>
      </c>
    </row>
    <row r="57" spans="1:8" ht="15.75">
      <c r="A57" s="108" t="s">
        <v>397</v>
      </c>
      <c r="B57" s="116"/>
      <c r="D57" s="110" t="s">
        <v>398</v>
      </c>
      <c r="E57" s="110" t="s">
        <v>398</v>
      </c>
      <c r="G57" s="108" t="s">
        <v>399</v>
      </c>
      <c r="H57" s="116"/>
    </row>
    <row r="58" spans="1:8" ht="15.75">
      <c r="A58" s="108" t="s">
        <v>260</v>
      </c>
      <c r="B58" s="116"/>
      <c r="D58" s="108" t="s">
        <v>400</v>
      </c>
      <c r="E58" s="108" t="s">
        <v>401</v>
      </c>
      <c r="G58" s="110" t="s">
        <v>402</v>
      </c>
      <c r="H58" s="116"/>
    </row>
    <row r="59" spans="1:8" ht="15.75">
      <c r="A59" s="108" t="s">
        <v>264</v>
      </c>
      <c r="B59" s="116"/>
      <c r="D59" s="108" t="s">
        <v>260</v>
      </c>
      <c r="E59" s="108" t="s">
        <v>260</v>
      </c>
      <c r="G59" s="110" t="s">
        <v>249</v>
      </c>
      <c r="H59" s="116"/>
    </row>
    <row r="60" spans="1:8" ht="30.75">
      <c r="A60" s="109" t="s">
        <v>403</v>
      </c>
      <c r="D60" s="108" t="s">
        <v>264</v>
      </c>
      <c r="E60" s="108" t="s">
        <v>264</v>
      </c>
      <c r="G60" s="108" t="s">
        <v>404</v>
      </c>
      <c r="H60" s="116"/>
    </row>
    <row r="61" spans="1:8" ht="46.5">
      <c r="A61" s="108" t="s">
        <v>405</v>
      </c>
      <c r="B61" s="116"/>
      <c r="D61" s="105" t="s">
        <v>406</v>
      </c>
      <c r="G61" s="108" t="s">
        <v>260</v>
      </c>
      <c r="H61" s="116"/>
    </row>
    <row r="62" spans="1:8" ht="15.75">
      <c r="A62" s="110" t="s">
        <v>407</v>
      </c>
      <c r="B62" s="116"/>
      <c r="G62" s="108" t="s">
        <v>408</v>
      </c>
      <c r="H62" s="116"/>
    </row>
    <row r="63" spans="1:8" ht="46.5">
      <c r="A63" s="110" t="s">
        <v>304</v>
      </c>
      <c r="B63" s="116"/>
      <c r="G63" s="105" t="s">
        <v>409</v>
      </c>
    </row>
    <row r="64" spans="1:8" ht="15.75">
      <c r="A64" s="110" t="s">
        <v>410</v>
      </c>
      <c r="B64" s="116"/>
      <c r="G64" s="109" t="s">
        <v>411</v>
      </c>
    </row>
    <row r="65" spans="1:8" ht="15.75">
      <c r="A65" s="110" t="s">
        <v>392</v>
      </c>
      <c r="B65" s="116"/>
      <c r="G65" s="108" t="s">
        <v>412</v>
      </c>
      <c r="H65" s="116"/>
    </row>
    <row r="66" spans="1:8" ht="15.75">
      <c r="A66" s="108" t="s">
        <v>413</v>
      </c>
      <c r="B66" s="116"/>
      <c r="G66" s="110" t="s">
        <v>414</v>
      </c>
      <c r="H66" s="116"/>
    </row>
    <row r="67" spans="1:8" ht="15.75">
      <c r="A67" s="108" t="s">
        <v>260</v>
      </c>
      <c r="B67" s="116"/>
      <c r="G67" s="110" t="s">
        <v>249</v>
      </c>
      <c r="H67" s="116"/>
    </row>
    <row r="68" spans="1:8" ht="15.75">
      <c r="A68" s="108" t="s">
        <v>309</v>
      </c>
      <c r="B68" s="116"/>
      <c r="G68" s="110" t="s">
        <v>415</v>
      </c>
      <c r="H68" s="116"/>
    </row>
    <row r="69" spans="1:8" ht="46.5">
      <c r="A69" s="105" t="s">
        <v>416</v>
      </c>
      <c r="G69" s="108" t="s">
        <v>417</v>
      </c>
      <c r="H69" s="116"/>
    </row>
    <row r="70" spans="1:8" ht="15.75">
      <c r="G70" s="108" t="s">
        <v>418</v>
      </c>
      <c r="H70" s="116"/>
    </row>
    <row r="71" spans="1:8" ht="15.75">
      <c r="G71" s="108" t="s">
        <v>260</v>
      </c>
      <c r="H71" s="116"/>
    </row>
    <row r="72" spans="1:8" ht="15.75">
      <c r="G72" s="108" t="s">
        <v>408</v>
      </c>
      <c r="H72" s="116"/>
    </row>
    <row r="73" spans="1:8" ht="15.75">
      <c r="G73" s="109" t="s">
        <v>419</v>
      </c>
    </row>
    <row r="74" spans="1:8" ht="15.75">
      <c r="G74" s="108" t="s">
        <v>420</v>
      </c>
      <c r="H74" s="116"/>
    </row>
    <row r="75" spans="1:8">
      <c r="G75" s="110" t="s">
        <v>421</v>
      </c>
      <c r="H75" s="116"/>
    </row>
    <row r="76" spans="1:8">
      <c r="G76" s="110" t="s">
        <v>249</v>
      </c>
      <c r="H76" s="116"/>
    </row>
    <row r="77" spans="1:8">
      <c r="G77" s="110" t="s">
        <v>415</v>
      </c>
      <c r="H77" s="116"/>
    </row>
    <row r="78" spans="1:8" ht="15.75">
      <c r="G78" s="108" t="s">
        <v>417</v>
      </c>
      <c r="H78" s="116"/>
    </row>
    <row r="79" spans="1:8" ht="15.75">
      <c r="G79" s="108" t="s">
        <v>422</v>
      </c>
      <c r="H79" s="116"/>
    </row>
    <row r="80" spans="1:8" ht="15.75">
      <c r="G80" s="108" t="s">
        <v>260</v>
      </c>
      <c r="H80" s="116"/>
    </row>
    <row r="81" spans="7:8" ht="15.75">
      <c r="G81" s="108" t="s">
        <v>408</v>
      </c>
      <c r="H81" s="116"/>
    </row>
    <row r="82" spans="7:8" ht="15.75">
      <c r="G82" s="109" t="s">
        <v>423</v>
      </c>
    </row>
    <row r="83" spans="7:8" ht="15.75">
      <c r="G83" s="108" t="s">
        <v>424</v>
      </c>
      <c r="H83" s="116"/>
    </row>
    <row r="84" spans="7:8">
      <c r="G84" s="110" t="s">
        <v>425</v>
      </c>
      <c r="H84" s="116"/>
    </row>
    <row r="85" spans="7:8">
      <c r="G85" s="110" t="s">
        <v>249</v>
      </c>
      <c r="H85" s="116"/>
    </row>
    <row r="86" spans="7:8" ht="15.75">
      <c r="G86" s="108" t="s">
        <v>426</v>
      </c>
      <c r="H86" s="116"/>
    </row>
    <row r="87" spans="7:8" ht="15.75">
      <c r="G87" s="108" t="s">
        <v>427</v>
      </c>
      <c r="H87" s="116"/>
    </row>
    <row r="88" spans="7:8" ht="15.75">
      <c r="G88" s="108" t="s">
        <v>260</v>
      </c>
      <c r="H88" s="116"/>
    </row>
    <row r="89" spans="7:8" ht="15.75">
      <c r="G89" s="108" t="s">
        <v>408</v>
      </c>
      <c r="H89" s="116"/>
    </row>
    <row r="90" spans="7:8" ht="15.75">
      <c r="G90" s="109" t="s">
        <v>428</v>
      </c>
    </row>
    <row r="91" spans="7:8" ht="15.75">
      <c r="G91" s="108" t="s">
        <v>429</v>
      </c>
      <c r="H91" s="116"/>
    </row>
    <row r="92" spans="7:8">
      <c r="G92" s="110" t="s">
        <v>430</v>
      </c>
      <c r="H92" s="116"/>
    </row>
    <row r="93" spans="7:8">
      <c r="G93" s="110" t="s">
        <v>249</v>
      </c>
      <c r="H93" s="116"/>
    </row>
    <row r="94" spans="7:8" ht="30.75">
      <c r="G94" s="108" t="s">
        <v>431</v>
      </c>
      <c r="H94" s="116"/>
    </row>
    <row r="95" spans="7:8" ht="15.75">
      <c r="G95" s="108" t="s">
        <v>432</v>
      </c>
      <c r="H95" s="116"/>
    </row>
    <row r="96" spans="7:8" ht="15.75">
      <c r="G96" s="108" t="s">
        <v>260</v>
      </c>
      <c r="H96" s="116"/>
    </row>
    <row r="97" spans="7:8" ht="15.75">
      <c r="G97" s="108" t="s">
        <v>408</v>
      </c>
      <c r="H97" s="116"/>
    </row>
    <row r="98" spans="7:8" ht="15.75">
      <c r="G98" s="109" t="s">
        <v>433</v>
      </c>
    </row>
    <row r="99" spans="7:8" ht="15.75">
      <c r="G99" s="108" t="s">
        <v>434</v>
      </c>
      <c r="H99" s="116"/>
    </row>
    <row r="100" spans="7:8">
      <c r="G100" s="110" t="s">
        <v>435</v>
      </c>
      <c r="H100" s="116"/>
    </row>
    <row r="101" spans="7:8">
      <c r="G101" s="110" t="s">
        <v>436</v>
      </c>
      <c r="H101" s="116"/>
    </row>
    <row r="102" spans="7:8">
      <c r="G102" s="110" t="s">
        <v>249</v>
      </c>
      <c r="H102" s="116"/>
    </row>
    <row r="103" spans="7:8">
      <c r="G103" s="110" t="s">
        <v>389</v>
      </c>
      <c r="H103" s="116"/>
    </row>
    <row r="104" spans="7:8">
      <c r="G104" s="110" t="s">
        <v>392</v>
      </c>
      <c r="H104" s="116"/>
    </row>
    <row r="105" spans="7:8" ht="15.75">
      <c r="G105" s="108" t="s">
        <v>437</v>
      </c>
      <c r="H105" s="116"/>
    </row>
    <row r="106" spans="7:8" ht="15.75">
      <c r="G106" s="108" t="s">
        <v>260</v>
      </c>
      <c r="H106" s="116"/>
    </row>
    <row r="107" spans="7:8" ht="15.75">
      <c r="G107" s="108" t="s">
        <v>408</v>
      </c>
      <c r="H107" s="116"/>
    </row>
    <row r="108" spans="7:8" ht="15.75">
      <c r="G108" s="109" t="s">
        <v>438</v>
      </c>
    </row>
    <row r="109" spans="7:8" ht="15.75">
      <c r="G109" s="108" t="s">
        <v>439</v>
      </c>
      <c r="H109" s="116"/>
    </row>
    <row r="110" spans="7:8">
      <c r="G110" s="110" t="s">
        <v>440</v>
      </c>
      <c r="H110" s="116"/>
    </row>
    <row r="111" spans="7:8">
      <c r="G111" s="110" t="s">
        <v>249</v>
      </c>
      <c r="H111" s="116"/>
    </row>
    <row r="112" spans="7:8">
      <c r="G112" s="110" t="s">
        <v>275</v>
      </c>
      <c r="H112" s="116"/>
    </row>
    <row r="113" spans="7:8" ht="15.75">
      <c r="G113" s="108" t="s">
        <v>441</v>
      </c>
      <c r="H113" s="116"/>
    </row>
    <row r="114" spans="7:8" ht="15.75">
      <c r="G114" s="108" t="s">
        <v>260</v>
      </c>
      <c r="H114" s="116"/>
    </row>
    <row r="115" spans="7:8" ht="15.75">
      <c r="G115" s="108" t="s">
        <v>408</v>
      </c>
      <c r="H115" s="116"/>
    </row>
    <row r="116" spans="7:8" ht="15.75">
      <c r="G116" s="109" t="s">
        <v>442</v>
      </c>
    </row>
    <row r="117" spans="7:8" ht="15.75">
      <c r="G117" s="108" t="s">
        <v>443</v>
      </c>
      <c r="H117" s="116"/>
    </row>
    <row r="118" spans="7:8">
      <c r="G118" s="110" t="s">
        <v>444</v>
      </c>
      <c r="H118" s="116"/>
    </row>
    <row r="119" spans="7:8">
      <c r="G119" s="110" t="s">
        <v>249</v>
      </c>
      <c r="H119" s="116"/>
    </row>
    <row r="120" spans="7:8" ht="15.75">
      <c r="G120" s="108" t="s">
        <v>445</v>
      </c>
      <c r="H120" s="116"/>
    </row>
    <row r="121" spans="7:8" ht="15.75">
      <c r="G121" s="108" t="s">
        <v>446</v>
      </c>
      <c r="H121" s="116"/>
    </row>
    <row r="122" spans="7:8" ht="15.75">
      <c r="G122" s="108" t="s">
        <v>260</v>
      </c>
      <c r="H122" s="116"/>
    </row>
    <row r="123" spans="7:8" ht="15.75">
      <c r="G123" s="108" t="s">
        <v>408</v>
      </c>
      <c r="H123" s="116"/>
    </row>
    <row r="124" spans="7:8" ht="15.75">
      <c r="G124" s="109" t="s">
        <v>447</v>
      </c>
    </row>
    <row r="125" spans="7:8" ht="15.75">
      <c r="G125" s="108" t="s">
        <v>448</v>
      </c>
    </row>
    <row r="126" spans="7:8">
      <c r="G126" s="110" t="s">
        <v>449</v>
      </c>
    </row>
    <row r="127" spans="7:8">
      <c r="G127" s="110" t="s">
        <v>249</v>
      </c>
    </row>
    <row r="128" spans="7:8">
      <c r="G128" s="110" t="s">
        <v>450</v>
      </c>
    </row>
    <row r="129" spans="7:7">
      <c r="G129" s="110" t="s">
        <v>392</v>
      </c>
    </row>
    <row r="130" spans="7:7" ht="15.75">
      <c r="G130" s="108" t="s">
        <v>451</v>
      </c>
    </row>
    <row r="131" spans="7:7" ht="15.75">
      <c r="G131" s="108" t="s">
        <v>452</v>
      </c>
    </row>
    <row r="132" spans="7:7" ht="15.75">
      <c r="G132" s="108" t="s">
        <v>260</v>
      </c>
    </row>
    <row r="133" spans="7:7" ht="15.75">
      <c r="G133" s="108" t="s">
        <v>408</v>
      </c>
    </row>
  </sheetData>
  <mergeCells count="16">
    <mergeCell ref="H117:H123"/>
    <mergeCell ref="D3:E3"/>
    <mergeCell ref="E13:E18"/>
    <mergeCell ref="H13:H19"/>
    <mergeCell ref="B19:B26"/>
    <mergeCell ref="E27:E32"/>
    <mergeCell ref="E46:E52"/>
    <mergeCell ref="B51:B59"/>
    <mergeCell ref="H57:H62"/>
    <mergeCell ref="B61:B68"/>
    <mergeCell ref="H65:H72"/>
    <mergeCell ref="H74:H81"/>
    <mergeCell ref="H83:H89"/>
    <mergeCell ref="H91:H97"/>
    <mergeCell ref="H99:H107"/>
    <mergeCell ref="H109:H1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91"/>
  <sheetViews>
    <sheetView topLeftCell="E37" workbookViewId="0">
      <selection activeCell="A131" sqref="A131:B147"/>
    </sheetView>
    <sheetView workbookViewId="1"/>
  </sheetViews>
  <sheetFormatPr defaultRowHeight="15"/>
  <cols>
    <col min="1" max="1" width="31.28515625" bestFit="1" customWidth="1"/>
    <col min="2" max="2" width="34.42578125" customWidth="1"/>
    <col min="5" max="5" width="66.85546875" customWidth="1"/>
    <col min="6" max="6" width="52.85546875" customWidth="1"/>
  </cols>
  <sheetData>
    <row r="1" spans="1:6" ht="101.25">
      <c r="A1" s="193" t="s">
        <v>582</v>
      </c>
    </row>
    <row r="2" spans="1:6">
      <c r="A2" s="114"/>
    </row>
    <row r="3" spans="1:6" ht="135">
      <c r="A3" s="188" t="s">
        <v>237</v>
      </c>
      <c r="E3" s="114" t="s">
        <v>482</v>
      </c>
    </row>
    <row r="4" spans="1:6" ht="30">
      <c r="A4" s="107" t="s">
        <v>238</v>
      </c>
      <c r="E4" s="114"/>
    </row>
    <row r="5" spans="1:6" ht="150">
      <c r="A5" s="114"/>
      <c r="E5" s="114" t="s">
        <v>483</v>
      </c>
    </row>
    <row r="6" spans="1:6" ht="15.75">
      <c r="A6" s="184" t="s">
        <v>240</v>
      </c>
      <c r="B6" s="184" t="s">
        <v>241</v>
      </c>
      <c r="E6" s="114"/>
    </row>
    <row r="7" spans="1:6" ht="105">
      <c r="A7" s="185" t="s">
        <v>462</v>
      </c>
      <c r="B7" s="185" t="s">
        <v>463</v>
      </c>
      <c r="E7" s="114" t="s">
        <v>484</v>
      </c>
    </row>
    <row r="8" spans="1:6">
      <c r="A8" s="185" t="s">
        <v>249</v>
      </c>
      <c r="B8" s="185" t="s">
        <v>249</v>
      </c>
      <c r="E8" s="114"/>
    </row>
    <row r="9" spans="1:6" ht="15.75">
      <c r="A9" s="185" t="s">
        <v>253</v>
      </c>
      <c r="B9" s="185" t="s">
        <v>253</v>
      </c>
      <c r="E9" s="109" t="s">
        <v>242</v>
      </c>
    </row>
    <row r="10" spans="1:6" ht="31.5">
      <c r="A10" s="184" t="s">
        <v>255</v>
      </c>
      <c r="B10" s="184" t="s">
        <v>256</v>
      </c>
      <c r="E10" s="184" t="s">
        <v>246</v>
      </c>
      <c r="F10" s="184" t="s">
        <v>247</v>
      </c>
    </row>
    <row r="11" spans="1:6" ht="30">
      <c r="A11" s="184" t="s">
        <v>260</v>
      </c>
      <c r="B11" s="184" t="s">
        <v>260</v>
      </c>
      <c r="E11" s="185" t="s">
        <v>485</v>
      </c>
      <c r="F11" s="185" t="s">
        <v>487</v>
      </c>
    </row>
    <row r="12" spans="1:6" ht="45.75">
      <c r="A12" s="184" t="s">
        <v>264</v>
      </c>
      <c r="B12" s="184" t="s">
        <v>264</v>
      </c>
      <c r="E12" s="185" t="s">
        <v>249</v>
      </c>
      <c r="F12" s="185" t="s">
        <v>249</v>
      </c>
    </row>
    <row r="13" spans="1:6" ht="30.75">
      <c r="A13" s="186" t="s">
        <v>129</v>
      </c>
      <c r="B13" s="186" t="s">
        <v>131</v>
      </c>
      <c r="E13" s="184" t="s">
        <v>257</v>
      </c>
      <c r="F13" s="184" t="s">
        <v>258</v>
      </c>
    </row>
    <row r="14" spans="1:6" ht="30">
      <c r="A14" s="187" t="s">
        <v>464</v>
      </c>
      <c r="B14" s="187" t="s">
        <v>466</v>
      </c>
      <c r="E14" s="184" t="s">
        <v>486</v>
      </c>
      <c r="F14" s="184" t="s">
        <v>262</v>
      </c>
    </row>
    <row r="15" spans="1:6" ht="15.75">
      <c r="A15" s="187" t="s">
        <v>249</v>
      </c>
      <c r="B15" s="187" t="s">
        <v>249</v>
      </c>
      <c r="E15" s="184" t="s">
        <v>260</v>
      </c>
      <c r="F15" s="184" t="s">
        <v>265</v>
      </c>
    </row>
    <row r="16" spans="1:6" ht="30.75">
      <c r="A16" s="187" t="s">
        <v>275</v>
      </c>
      <c r="B16" s="187" t="s">
        <v>275</v>
      </c>
      <c r="E16" s="184" t="s">
        <v>267</v>
      </c>
      <c r="F16" s="184" t="s">
        <v>488</v>
      </c>
    </row>
    <row r="17" spans="1:6" ht="30.75">
      <c r="A17" s="186" t="s">
        <v>465</v>
      </c>
      <c r="B17" s="186" t="s">
        <v>467</v>
      </c>
      <c r="E17" s="114"/>
    </row>
    <row r="18" spans="1:6" ht="31.5">
      <c r="A18" s="186" t="s">
        <v>260</v>
      </c>
      <c r="B18" s="186" t="s">
        <v>260</v>
      </c>
      <c r="E18" s="109" t="s">
        <v>288</v>
      </c>
    </row>
    <row r="19" spans="1:6" ht="45.75">
      <c r="A19" s="186" t="s">
        <v>264</v>
      </c>
      <c r="B19" s="186" t="s">
        <v>264</v>
      </c>
      <c r="E19" s="194" t="s">
        <v>489</v>
      </c>
      <c r="F19" s="195"/>
    </row>
    <row r="20" spans="1:6" ht="15.75">
      <c r="A20" s="184" t="s">
        <v>266</v>
      </c>
      <c r="B20" s="184" t="s">
        <v>266</v>
      </c>
      <c r="E20" s="196" t="s">
        <v>490</v>
      </c>
      <c r="F20" s="195"/>
    </row>
    <row r="21" spans="1:6" ht="30">
      <c r="A21" s="185" t="s">
        <v>468</v>
      </c>
      <c r="B21" s="185" t="s">
        <v>469</v>
      </c>
      <c r="E21" s="196" t="s">
        <v>249</v>
      </c>
      <c r="F21" s="195"/>
    </row>
    <row r="22" spans="1:6" ht="15.75">
      <c r="A22" s="185" t="s">
        <v>249</v>
      </c>
      <c r="B22" s="185" t="s">
        <v>249</v>
      </c>
      <c r="E22" s="194" t="s">
        <v>583</v>
      </c>
      <c r="F22" s="195"/>
    </row>
    <row r="23" spans="1:6" ht="15.75">
      <c r="A23" s="185" t="s">
        <v>254</v>
      </c>
      <c r="B23" s="185" t="s">
        <v>254</v>
      </c>
      <c r="E23" s="194" t="s">
        <v>584</v>
      </c>
      <c r="F23" s="195"/>
    </row>
    <row r="24" spans="1:6" ht="60.75">
      <c r="A24" s="184" t="s">
        <v>279</v>
      </c>
      <c r="B24" s="184" t="s">
        <v>279</v>
      </c>
      <c r="E24" s="194" t="s">
        <v>585</v>
      </c>
      <c r="F24" s="195"/>
    </row>
    <row r="25" spans="1:6" ht="30.75">
      <c r="A25" s="184" t="s">
        <v>280</v>
      </c>
      <c r="B25" s="184" t="s">
        <v>470</v>
      </c>
      <c r="E25" s="114"/>
    </row>
    <row r="26" spans="1:6" ht="15.75">
      <c r="A26" s="184" t="s">
        <v>283</v>
      </c>
      <c r="B26" s="184" t="s">
        <v>260</v>
      </c>
      <c r="E26" s="109" t="s">
        <v>325</v>
      </c>
    </row>
    <row r="27" spans="1:6" ht="30.75">
      <c r="A27" s="184" t="s">
        <v>379</v>
      </c>
      <c r="B27" s="184" t="s">
        <v>264</v>
      </c>
      <c r="E27" s="194" t="s">
        <v>326</v>
      </c>
      <c r="F27" s="184" t="s">
        <v>326</v>
      </c>
    </row>
    <row r="28" spans="1:6" ht="30">
      <c r="A28" s="114"/>
      <c r="E28" s="196" t="s">
        <v>491</v>
      </c>
      <c r="F28" s="185" t="s">
        <v>492</v>
      </c>
    </row>
    <row r="29" spans="1:6" ht="93">
      <c r="A29" s="188" t="s">
        <v>308</v>
      </c>
      <c r="E29" s="196" t="s">
        <v>249</v>
      </c>
      <c r="F29" s="185" t="s">
        <v>249</v>
      </c>
    </row>
    <row r="30" spans="1:6" ht="15.75">
      <c r="A30" s="114"/>
      <c r="E30" s="194" t="s">
        <v>586</v>
      </c>
      <c r="F30" s="184" t="s">
        <v>356</v>
      </c>
    </row>
    <row r="31" spans="1:6" ht="15.75">
      <c r="A31" s="109" t="s">
        <v>311</v>
      </c>
      <c r="E31" s="194" t="s">
        <v>587</v>
      </c>
      <c r="F31" s="184" t="s">
        <v>260</v>
      </c>
    </row>
    <row r="32" spans="1:6" ht="45.75">
      <c r="A32" s="184" t="s">
        <v>471</v>
      </c>
      <c r="B32" s="189"/>
      <c r="E32" s="194" t="s">
        <v>588</v>
      </c>
      <c r="F32" s="184" t="s">
        <v>267</v>
      </c>
    </row>
    <row r="33" spans="1:6" ht="30">
      <c r="A33" s="185" t="s">
        <v>472</v>
      </c>
      <c r="B33" s="189"/>
      <c r="E33" s="186" t="s">
        <v>326</v>
      </c>
      <c r="F33" s="186" t="s">
        <v>326</v>
      </c>
    </row>
    <row r="34" spans="1:6" ht="30">
      <c r="A34" s="185" t="s">
        <v>249</v>
      </c>
      <c r="B34" s="189"/>
      <c r="E34" s="187" t="s">
        <v>493</v>
      </c>
      <c r="F34" s="187" t="s">
        <v>495</v>
      </c>
    </row>
    <row r="35" spans="1:6" ht="15.75">
      <c r="A35" s="184" t="s">
        <v>473</v>
      </c>
      <c r="B35" s="189"/>
      <c r="E35" s="187" t="s">
        <v>249</v>
      </c>
      <c r="F35" s="187" t="s">
        <v>249</v>
      </c>
    </row>
    <row r="36" spans="1:6" ht="15.75">
      <c r="A36" s="184" t="s">
        <v>260</v>
      </c>
      <c r="B36" s="189"/>
      <c r="E36" s="186" t="s">
        <v>494</v>
      </c>
      <c r="F36" s="186" t="s">
        <v>337</v>
      </c>
    </row>
    <row r="37" spans="1:6" ht="45.75">
      <c r="A37" s="184" t="s">
        <v>264</v>
      </c>
      <c r="B37" s="189"/>
      <c r="E37" s="186" t="s">
        <v>260</v>
      </c>
      <c r="F37" s="186" t="s">
        <v>260</v>
      </c>
    </row>
    <row r="38" spans="1:6" ht="45.75">
      <c r="A38" s="114"/>
      <c r="E38" s="186" t="s">
        <v>267</v>
      </c>
      <c r="F38" s="186" t="s">
        <v>267</v>
      </c>
    </row>
    <row r="39" spans="1:6" ht="15.75">
      <c r="A39" s="109" t="s">
        <v>333</v>
      </c>
      <c r="E39" s="184" t="s">
        <v>366</v>
      </c>
      <c r="F39" s="184" t="s">
        <v>366</v>
      </c>
    </row>
    <row r="40" spans="1:6" ht="31.5">
      <c r="A40" s="184" t="s">
        <v>335</v>
      </c>
      <c r="B40" s="184" t="s">
        <v>335</v>
      </c>
      <c r="E40" s="185" t="s">
        <v>496</v>
      </c>
      <c r="F40" s="185" t="s">
        <v>368</v>
      </c>
    </row>
    <row r="41" spans="1:6" ht="30">
      <c r="A41" s="185" t="s">
        <v>474</v>
      </c>
      <c r="B41" s="185" t="s">
        <v>475</v>
      </c>
      <c r="E41" s="185" t="s">
        <v>249</v>
      </c>
      <c r="F41" s="185" t="s">
        <v>249</v>
      </c>
    </row>
    <row r="42" spans="1:6" ht="105.75">
      <c r="A42" s="185" t="s">
        <v>249</v>
      </c>
      <c r="B42" s="185" t="s">
        <v>249</v>
      </c>
      <c r="E42" s="184" t="s">
        <v>497</v>
      </c>
      <c r="F42" s="184" t="s">
        <v>377</v>
      </c>
    </row>
    <row r="43" spans="1:6" ht="30.75">
      <c r="A43" s="185" t="s">
        <v>346</v>
      </c>
      <c r="B43" s="185" t="s">
        <v>346</v>
      </c>
      <c r="E43" s="184" t="s">
        <v>498</v>
      </c>
      <c r="F43" s="184" t="s">
        <v>501</v>
      </c>
    </row>
    <row r="44" spans="1:6" ht="15.75">
      <c r="A44" s="184" t="s">
        <v>350</v>
      </c>
      <c r="B44" s="184" t="s">
        <v>351</v>
      </c>
      <c r="E44" s="184" t="s">
        <v>499</v>
      </c>
      <c r="F44" s="184" t="s">
        <v>260</v>
      </c>
    </row>
    <row r="45" spans="1:6" ht="45.75">
      <c r="A45" s="184" t="s">
        <v>260</v>
      </c>
      <c r="B45" s="184" t="s">
        <v>260</v>
      </c>
      <c r="E45" s="184" t="s">
        <v>500</v>
      </c>
      <c r="F45" s="184" t="s">
        <v>267</v>
      </c>
    </row>
    <row r="46" spans="1:6" ht="45.75">
      <c r="A46" s="184" t="s">
        <v>264</v>
      </c>
      <c r="B46" s="184" t="s">
        <v>264</v>
      </c>
      <c r="E46" s="114"/>
    </row>
    <row r="47" spans="1:6" ht="31.5">
      <c r="A47" s="186" t="s">
        <v>335</v>
      </c>
      <c r="B47" s="186" t="s">
        <v>383</v>
      </c>
      <c r="E47" s="109" t="s">
        <v>502</v>
      </c>
    </row>
    <row r="48" spans="1:6" ht="30">
      <c r="A48" s="187" t="s">
        <v>476</v>
      </c>
      <c r="B48" s="187" t="s">
        <v>386</v>
      </c>
      <c r="E48" s="184" t="s">
        <v>503</v>
      </c>
      <c r="F48" s="189"/>
    </row>
    <row r="49" spans="1:6" ht="30">
      <c r="A49" s="187" t="s">
        <v>249</v>
      </c>
      <c r="B49" s="187" t="s">
        <v>479</v>
      </c>
      <c r="E49" s="185" t="s">
        <v>504</v>
      </c>
      <c r="F49" s="189"/>
    </row>
    <row r="50" spans="1:6">
      <c r="A50" s="187" t="s">
        <v>346</v>
      </c>
      <c r="B50" s="187" t="s">
        <v>249</v>
      </c>
      <c r="E50" s="185" t="s">
        <v>249</v>
      </c>
      <c r="F50" s="189"/>
    </row>
    <row r="51" spans="1:6" ht="30">
      <c r="A51" s="186" t="s">
        <v>477</v>
      </c>
      <c r="B51" s="187" t="s">
        <v>480</v>
      </c>
      <c r="E51" s="184" t="s">
        <v>505</v>
      </c>
      <c r="F51" s="189"/>
    </row>
    <row r="52" spans="1:6" ht="15.75">
      <c r="A52" s="186" t="s">
        <v>478</v>
      </c>
      <c r="B52" s="186" t="s">
        <v>395</v>
      </c>
      <c r="E52" s="184" t="s">
        <v>260</v>
      </c>
      <c r="F52" s="189"/>
    </row>
    <row r="53" spans="1:6" ht="30.75">
      <c r="A53" s="186" t="s">
        <v>379</v>
      </c>
      <c r="B53" s="186" t="s">
        <v>397</v>
      </c>
      <c r="E53" s="184" t="s">
        <v>267</v>
      </c>
      <c r="F53" s="189"/>
    </row>
    <row r="54" spans="1:6" ht="15.75">
      <c r="A54" s="190"/>
      <c r="B54" s="186" t="s">
        <v>260</v>
      </c>
      <c r="E54" s="114"/>
    </row>
    <row r="55" spans="1:6" ht="30.75">
      <c r="A55" s="190"/>
      <c r="B55" s="186" t="s">
        <v>264</v>
      </c>
      <c r="E55" s="109" t="s">
        <v>387</v>
      </c>
    </row>
    <row r="56" spans="1:6" ht="15.75">
      <c r="A56" s="114"/>
      <c r="E56" s="184" t="s">
        <v>390</v>
      </c>
      <c r="F56" s="184" t="s">
        <v>391</v>
      </c>
    </row>
    <row r="57" spans="1:6" ht="30">
      <c r="A57" s="109" t="s">
        <v>403</v>
      </c>
      <c r="E57" s="185" t="s">
        <v>506</v>
      </c>
      <c r="F57" s="185" t="s">
        <v>507</v>
      </c>
    </row>
    <row r="58" spans="1:6" ht="15.75">
      <c r="A58" s="184" t="s">
        <v>405</v>
      </c>
      <c r="B58" s="189"/>
      <c r="E58" s="185" t="s">
        <v>249</v>
      </c>
      <c r="F58" s="185" t="s">
        <v>249</v>
      </c>
    </row>
    <row r="59" spans="1:6" ht="30">
      <c r="A59" s="185" t="s">
        <v>481</v>
      </c>
      <c r="B59" s="189"/>
      <c r="E59" s="185" t="s">
        <v>398</v>
      </c>
      <c r="F59" s="185" t="s">
        <v>398</v>
      </c>
    </row>
    <row r="60" spans="1:6" ht="15.75">
      <c r="A60" s="185" t="s">
        <v>304</v>
      </c>
      <c r="B60" s="189"/>
      <c r="E60" s="184" t="s">
        <v>400</v>
      </c>
      <c r="F60" s="184" t="s">
        <v>401</v>
      </c>
    </row>
    <row r="61" spans="1:6" ht="30">
      <c r="A61" s="185" t="s">
        <v>410</v>
      </c>
      <c r="B61" s="189"/>
      <c r="E61" s="184" t="s">
        <v>260</v>
      </c>
      <c r="F61" s="184" t="s">
        <v>260</v>
      </c>
    </row>
    <row r="62" spans="1:6" ht="30.75">
      <c r="A62" s="185" t="s">
        <v>392</v>
      </c>
      <c r="B62" s="189"/>
      <c r="E62" s="184" t="s">
        <v>264</v>
      </c>
      <c r="F62" s="184" t="s">
        <v>264</v>
      </c>
    </row>
    <row r="63" spans="1:6" ht="15.75">
      <c r="A63" s="184" t="s">
        <v>413</v>
      </c>
      <c r="B63" s="189"/>
      <c r="E63" s="114"/>
    </row>
    <row r="64" spans="1:6" ht="15.75">
      <c r="A64" s="184" t="s">
        <v>260</v>
      </c>
      <c r="B64" s="189"/>
    </row>
    <row r="65" spans="1:2" ht="45.75">
      <c r="A65" s="184" t="s">
        <v>309</v>
      </c>
      <c r="B65" s="189"/>
    </row>
    <row r="66" spans="1:2">
      <c r="A66" s="114"/>
    </row>
    <row r="67" spans="1:2" ht="69.75">
      <c r="A67" s="188" t="s">
        <v>416</v>
      </c>
    </row>
    <row r="129" spans="1:2" ht="93">
      <c r="A129" s="188" t="s">
        <v>406</v>
      </c>
    </row>
    <row r="130" spans="1:2">
      <c r="A130" s="114"/>
    </row>
    <row r="131" spans="1:2" ht="31.5">
      <c r="A131" s="109" t="s">
        <v>243</v>
      </c>
    </row>
    <row r="132" spans="1:2" ht="47.25">
      <c r="A132" s="184" t="s">
        <v>248</v>
      </c>
      <c r="B132" s="189"/>
    </row>
    <row r="133" spans="1:2" ht="30">
      <c r="A133" s="185" t="s">
        <v>508</v>
      </c>
      <c r="B133" s="189"/>
    </row>
    <row r="134" spans="1:2">
      <c r="A134" s="185" t="s">
        <v>249</v>
      </c>
      <c r="B134" s="189"/>
    </row>
    <row r="135" spans="1:2" ht="30.75">
      <c r="A135" s="184" t="s">
        <v>509</v>
      </c>
      <c r="B135" s="189"/>
    </row>
    <row r="136" spans="1:2" ht="15.75">
      <c r="A136" s="184" t="s">
        <v>263</v>
      </c>
      <c r="B136" s="189"/>
    </row>
    <row r="137" spans="1:2" ht="15.75">
      <c r="A137" s="184" t="s">
        <v>260</v>
      </c>
      <c r="B137" s="189"/>
    </row>
    <row r="138" spans="1:2" ht="45.75">
      <c r="A138" s="184" t="s">
        <v>264</v>
      </c>
      <c r="B138" s="189"/>
    </row>
    <row r="139" spans="1:2">
      <c r="A139" s="114"/>
    </row>
    <row r="140" spans="1:2" ht="63">
      <c r="A140" s="109" t="s">
        <v>294</v>
      </c>
    </row>
    <row r="141" spans="1:2" ht="31.5">
      <c r="A141" s="184" t="s">
        <v>295</v>
      </c>
      <c r="B141" s="184" t="s">
        <v>511</v>
      </c>
    </row>
    <row r="142" spans="1:2" ht="30">
      <c r="A142" s="185" t="s">
        <v>510</v>
      </c>
      <c r="B142" s="185" t="s">
        <v>512</v>
      </c>
    </row>
    <row r="143" spans="1:2">
      <c r="A143" s="185" t="s">
        <v>304</v>
      </c>
      <c r="B143" s="185" t="s">
        <v>249</v>
      </c>
    </row>
    <row r="144" spans="1:2" ht="30.75">
      <c r="A144" s="184" t="s">
        <v>307</v>
      </c>
      <c r="B144" s="184" t="s">
        <v>321</v>
      </c>
    </row>
    <row r="145" spans="1:2" ht="15.75">
      <c r="A145" s="184" t="s">
        <v>260</v>
      </c>
      <c r="B145" s="184" t="s">
        <v>260</v>
      </c>
    </row>
    <row r="146" spans="1:2" ht="45.75">
      <c r="A146" s="184" t="s">
        <v>309</v>
      </c>
      <c r="B146" s="184" t="s">
        <v>264</v>
      </c>
    </row>
    <row r="147" spans="1:2" ht="31.5">
      <c r="A147" s="186" t="s">
        <v>327</v>
      </c>
      <c r="B147" s="186" t="s">
        <v>369</v>
      </c>
    </row>
    <row r="148" spans="1:2" ht="30">
      <c r="A148" s="187" t="s">
        <v>513</v>
      </c>
      <c r="B148" s="187" t="s">
        <v>514</v>
      </c>
    </row>
    <row r="149" spans="1:2" ht="30">
      <c r="A149" s="187" t="s">
        <v>334</v>
      </c>
      <c r="B149" s="187" t="s">
        <v>515</v>
      </c>
    </row>
    <row r="150" spans="1:2" ht="30">
      <c r="A150" s="186" t="s">
        <v>338</v>
      </c>
      <c r="B150" s="187" t="s">
        <v>516</v>
      </c>
    </row>
    <row r="151" spans="1:2" ht="30">
      <c r="A151" s="186" t="s">
        <v>343</v>
      </c>
      <c r="B151" s="187" t="s">
        <v>517</v>
      </c>
    </row>
    <row r="152" spans="1:2" ht="30.75">
      <c r="A152" s="186" t="s">
        <v>345</v>
      </c>
      <c r="B152" s="187" t="s">
        <v>249</v>
      </c>
    </row>
    <row r="153" spans="1:2" ht="15.75">
      <c r="A153" s="190"/>
      <c r="B153" s="186" t="s">
        <v>388</v>
      </c>
    </row>
    <row r="154" spans="1:2" ht="15.75">
      <c r="A154" s="190"/>
      <c r="B154" s="186" t="s">
        <v>260</v>
      </c>
    </row>
    <row r="155" spans="1:2" ht="30.75">
      <c r="A155" s="190"/>
      <c r="B155" s="186" t="s">
        <v>264</v>
      </c>
    </row>
    <row r="156" spans="1:2" ht="31.5">
      <c r="A156" s="184" t="s">
        <v>518</v>
      </c>
      <c r="B156" s="184" t="s">
        <v>522</v>
      </c>
    </row>
    <row r="157" spans="1:2" ht="30">
      <c r="A157" s="185" t="s">
        <v>519</v>
      </c>
      <c r="B157" s="185" t="s">
        <v>354</v>
      </c>
    </row>
    <row r="158" spans="1:2" ht="30">
      <c r="A158" s="185" t="s">
        <v>304</v>
      </c>
      <c r="B158" s="185" t="s">
        <v>523</v>
      </c>
    </row>
    <row r="159" spans="1:2" ht="30.75">
      <c r="A159" s="184" t="s">
        <v>509</v>
      </c>
      <c r="B159" s="185" t="s">
        <v>249</v>
      </c>
    </row>
    <row r="160" spans="1:2" ht="30.75">
      <c r="A160" s="184" t="s">
        <v>359</v>
      </c>
      <c r="B160" s="184" t="s">
        <v>524</v>
      </c>
    </row>
    <row r="161" spans="1:2" ht="30.75">
      <c r="A161" s="184" t="s">
        <v>520</v>
      </c>
      <c r="B161" s="184" t="s">
        <v>360</v>
      </c>
    </row>
    <row r="162" spans="1:2" ht="45.75">
      <c r="A162" s="184" t="s">
        <v>521</v>
      </c>
      <c r="B162" s="184" t="s">
        <v>525</v>
      </c>
    </row>
    <row r="163" spans="1:2" ht="45.75">
      <c r="A163" s="191"/>
      <c r="B163" s="184" t="s">
        <v>526</v>
      </c>
    </row>
    <row r="164" spans="1:2" ht="31.5">
      <c r="A164" s="186" t="s">
        <v>296</v>
      </c>
      <c r="B164" s="186" t="s">
        <v>296</v>
      </c>
    </row>
    <row r="165" spans="1:2" ht="30">
      <c r="A165" s="187" t="s">
        <v>527</v>
      </c>
      <c r="B165" s="187" t="s">
        <v>528</v>
      </c>
    </row>
    <row r="166" spans="1:2">
      <c r="A166" s="187" t="s">
        <v>305</v>
      </c>
      <c r="B166" s="187" t="s">
        <v>305</v>
      </c>
    </row>
    <row r="167" spans="1:2" ht="30.75">
      <c r="A167" s="186" t="s">
        <v>307</v>
      </c>
      <c r="B167" s="186" t="s">
        <v>322</v>
      </c>
    </row>
    <row r="168" spans="1:2" ht="15.75">
      <c r="A168" s="186" t="s">
        <v>260</v>
      </c>
      <c r="B168" s="186" t="s">
        <v>260</v>
      </c>
    </row>
    <row r="169" spans="1:2" ht="45.75">
      <c r="A169" s="186" t="s">
        <v>310</v>
      </c>
      <c r="B169" s="186" t="s">
        <v>310</v>
      </c>
    </row>
    <row r="170" spans="1:2" ht="31.5">
      <c r="A170" s="184" t="s">
        <v>296</v>
      </c>
      <c r="B170" s="184" t="s">
        <v>328</v>
      </c>
    </row>
    <row r="171" spans="1:2" ht="30">
      <c r="A171" s="185" t="s">
        <v>529</v>
      </c>
      <c r="B171" s="185" t="s">
        <v>332</v>
      </c>
    </row>
    <row r="172" spans="1:2" ht="30">
      <c r="A172" s="185" t="s">
        <v>305</v>
      </c>
      <c r="B172" s="185" t="s">
        <v>530</v>
      </c>
    </row>
    <row r="173" spans="1:2" ht="15.75">
      <c r="A173" s="184" t="s">
        <v>322</v>
      </c>
      <c r="B173" s="185" t="s">
        <v>249</v>
      </c>
    </row>
    <row r="174" spans="1:2" ht="15.75">
      <c r="A174" s="184" t="s">
        <v>260</v>
      </c>
      <c r="B174" s="184" t="s">
        <v>339</v>
      </c>
    </row>
    <row r="175" spans="1:2" ht="45.75">
      <c r="A175" s="184" t="s">
        <v>310</v>
      </c>
      <c r="B175" s="184" t="s">
        <v>260</v>
      </c>
    </row>
    <row r="176" spans="1:2" ht="30.75">
      <c r="A176" s="191"/>
      <c r="B176" s="184" t="s">
        <v>264</v>
      </c>
    </row>
    <row r="177" spans="1:2" ht="31.5">
      <c r="A177" s="186" t="s">
        <v>531</v>
      </c>
      <c r="B177" s="192"/>
    </row>
    <row r="178" spans="1:2" ht="30">
      <c r="A178" s="187" t="s">
        <v>532</v>
      </c>
      <c r="B178" s="192"/>
    </row>
    <row r="179" spans="1:2">
      <c r="A179" s="187" t="s">
        <v>304</v>
      </c>
      <c r="B179" s="192"/>
    </row>
    <row r="180" spans="1:2" ht="15.75">
      <c r="A180" s="186" t="s">
        <v>533</v>
      </c>
      <c r="B180" s="192"/>
    </row>
    <row r="181" spans="1:2" ht="60.75">
      <c r="A181" s="186" t="s">
        <v>534</v>
      </c>
      <c r="B181" s="192"/>
    </row>
    <row r="182" spans="1:2" ht="30.75">
      <c r="A182" s="186" t="s">
        <v>535</v>
      </c>
      <c r="B182" s="192"/>
    </row>
    <row r="183" spans="1:2">
      <c r="A183" s="114"/>
    </row>
    <row r="184" spans="1:2" ht="15.75">
      <c r="A184" s="109" t="s">
        <v>396</v>
      </c>
    </row>
    <row r="185" spans="1:2" ht="31.5">
      <c r="A185" s="184" t="s">
        <v>399</v>
      </c>
      <c r="B185" s="189"/>
    </row>
    <row r="186" spans="1:2" ht="30">
      <c r="A186" s="185" t="s">
        <v>536</v>
      </c>
      <c r="B186" s="189"/>
    </row>
    <row r="187" spans="1:2">
      <c r="A187" s="185" t="s">
        <v>249</v>
      </c>
      <c r="B187" s="189"/>
    </row>
    <row r="188" spans="1:2" ht="30.75">
      <c r="A188" s="184" t="s">
        <v>404</v>
      </c>
      <c r="B188" s="189"/>
    </row>
    <row r="189" spans="1:2" ht="15.75">
      <c r="A189" s="184" t="s">
        <v>260</v>
      </c>
      <c r="B189" s="189"/>
    </row>
    <row r="190" spans="1:2" ht="45.75">
      <c r="A190" s="184" t="s">
        <v>408</v>
      </c>
      <c r="B190" s="189"/>
    </row>
    <row r="191" spans="1:2">
      <c r="A191" s="114"/>
    </row>
    <row r="192" spans="1:2" ht="69.75">
      <c r="A192" s="188" t="s">
        <v>409</v>
      </c>
    </row>
    <row r="193" spans="1:2">
      <c r="A193" s="114"/>
    </row>
    <row r="194" spans="1:2" ht="15.75">
      <c r="A194" s="109" t="s">
        <v>537</v>
      </c>
    </row>
    <row r="195" spans="1:2" ht="47.25">
      <c r="A195" s="184" t="s">
        <v>538</v>
      </c>
    </row>
    <row r="196" spans="1:2" ht="30">
      <c r="A196" s="185" t="s">
        <v>539</v>
      </c>
    </row>
    <row r="197" spans="1:2">
      <c r="A197" s="185" t="s">
        <v>304</v>
      </c>
    </row>
    <row r="198" spans="1:2" ht="15.75">
      <c r="A198" s="184" t="s">
        <v>540</v>
      </c>
    </row>
    <row r="199" spans="1:2" ht="15.75">
      <c r="A199" s="184" t="s">
        <v>260</v>
      </c>
    </row>
    <row r="200" spans="1:2" ht="393.75">
      <c r="A200" s="184" t="s">
        <v>541</v>
      </c>
    </row>
    <row r="201" spans="1:2">
      <c r="A201" s="114"/>
    </row>
    <row r="202" spans="1:2" ht="15.75">
      <c r="A202" s="109" t="s">
        <v>542</v>
      </c>
    </row>
    <row r="203" spans="1:2" ht="31.5">
      <c r="A203" s="184" t="s">
        <v>543</v>
      </c>
      <c r="B203" s="189"/>
    </row>
    <row r="204" spans="1:2" ht="30">
      <c r="A204" s="185" t="s">
        <v>544</v>
      </c>
      <c r="B204" s="189"/>
    </row>
    <row r="205" spans="1:2">
      <c r="A205" s="185" t="s">
        <v>249</v>
      </c>
      <c r="B205" s="189"/>
    </row>
    <row r="206" spans="1:2">
      <c r="A206" s="185" t="s">
        <v>415</v>
      </c>
      <c r="B206" s="189"/>
    </row>
    <row r="207" spans="1:2" ht="30.75">
      <c r="A207" s="184" t="s">
        <v>545</v>
      </c>
      <c r="B207" s="189"/>
    </row>
    <row r="208" spans="1:2" ht="15.75">
      <c r="A208" s="184" t="s">
        <v>546</v>
      </c>
      <c r="B208" s="189"/>
    </row>
    <row r="209" spans="1:2" ht="15.75">
      <c r="A209" s="184" t="s">
        <v>260</v>
      </c>
      <c r="B209" s="189"/>
    </row>
    <row r="210" spans="1:2" ht="45.75">
      <c r="A210" s="184" t="s">
        <v>408</v>
      </c>
      <c r="B210" s="189"/>
    </row>
    <row r="211" spans="1:2">
      <c r="A211" s="114"/>
    </row>
    <row r="212" spans="1:2" ht="15.75">
      <c r="A212" s="109" t="s">
        <v>411</v>
      </c>
    </row>
    <row r="213" spans="1:2" ht="15.75">
      <c r="A213" s="184" t="s">
        <v>412</v>
      </c>
      <c r="B213" s="189"/>
    </row>
    <row r="214" spans="1:2" ht="30">
      <c r="A214" s="185" t="s">
        <v>547</v>
      </c>
      <c r="B214" s="189"/>
    </row>
    <row r="215" spans="1:2">
      <c r="A215" s="185" t="s">
        <v>249</v>
      </c>
      <c r="B215" s="189"/>
    </row>
    <row r="216" spans="1:2">
      <c r="A216" s="185" t="s">
        <v>415</v>
      </c>
      <c r="B216" s="189"/>
    </row>
    <row r="217" spans="1:2" ht="30.75">
      <c r="A217" s="184" t="s">
        <v>417</v>
      </c>
      <c r="B217" s="189"/>
    </row>
    <row r="218" spans="1:2" ht="30.75">
      <c r="A218" s="184" t="s">
        <v>548</v>
      </c>
      <c r="B218" s="189"/>
    </row>
    <row r="219" spans="1:2" ht="15.75">
      <c r="A219" s="184" t="s">
        <v>260</v>
      </c>
      <c r="B219" s="189"/>
    </row>
    <row r="220" spans="1:2" ht="45.75">
      <c r="A220" s="184" t="s">
        <v>408</v>
      </c>
      <c r="B220" s="189"/>
    </row>
    <row r="221" spans="1:2">
      <c r="A221" s="114"/>
    </row>
    <row r="222" spans="1:2" ht="15.75">
      <c r="A222" s="109" t="s">
        <v>419</v>
      </c>
    </row>
    <row r="223" spans="1:2" ht="15.75">
      <c r="A223" s="184" t="s">
        <v>420</v>
      </c>
      <c r="B223" s="189"/>
    </row>
    <row r="224" spans="1:2" ht="30">
      <c r="A224" s="185" t="s">
        <v>549</v>
      </c>
      <c r="B224" s="189"/>
    </row>
    <row r="225" spans="1:2">
      <c r="A225" s="185" t="s">
        <v>249</v>
      </c>
      <c r="B225" s="189"/>
    </row>
    <row r="226" spans="1:2">
      <c r="A226" s="185" t="s">
        <v>415</v>
      </c>
      <c r="B226" s="189"/>
    </row>
    <row r="227" spans="1:2" ht="30.75">
      <c r="A227" s="184" t="s">
        <v>417</v>
      </c>
      <c r="B227" s="189"/>
    </row>
    <row r="228" spans="1:2" ht="15.75">
      <c r="A228" s="184" t="s">
        <v>422</v>
      </c>
      <c r="B228" s="189"/>
    </row>
    <row r="229" spans="1:2" ht="15.75">
      <c r="A229" s="184" t="s">
        <v>260</v>
      </c>
      <c r="B229" s="189"/>
    </row>
    <row r="230" spans="1:2" ht="45.75">
      <c r="A230" s="184" t="s">
        <v>408</v>
      </c>
      <c r="B230" s="189"/>
    </row>
    <row r="231" spans="1:2">
      <c r="A231" s="114"/>
    </row>
    <row r="232" spans="1:2" ht="31.5">
      <c r="A232" s="109" t="s">
        <v>428</v>
      </c>
    </row>
    <row r="233" spans="1:2" ht="31.5">
      <c r="A233" s="184" t="s">
        <v>550</v>
      </c>
      <c r="B233" s="184" t="s">
        <v>555</v>
      </c>
    </row>
    <row r="234" spans="1:2" ht="30">
      <c r="A234" s="185" t="s">
        <v>551</v>
      </c>
      <c r="B234" s="185" t="s">
        <v>556</v>
      </c>
    </row>
    <row r="235" spans="1:2" ht="30">
      <c r="A235" s="185" t="s">
        <v>552</v>
      </c>
      <c r="B235" s="185" t="s">
        <v>557</v>
      </c>
    </row>
    <row r="236" spans="1:2">
      <c r="A236" s="185" t="s">
        <v>249</v>
      </c>
      <c r="B236" s="185" t="s">
        <v>249</v>
      </c>
    </row>
    <row r="237" spans="1:2" ht="60.75">
      <c r="A237" s="185" t="s">
        <v>450</v>
      </c>
      <c r="B237" s="184" t="s">
        <v>558</v>
      </c>
    </row>
    <row r="238" spans="1:2" ht="15.75">
      <c r="A238" s="185" t="s">
        <v>553</v>
      </c>
      <c r="B238" s="184" t="s">
        <v>432</v>
      </c>
    </row>
    <row r="239" spans="1:2" ht="15.75">
      <c r="A239" s="184" t="s">
        <v>554</v>
      </c>
      <c r="B239" s="184" t="s">
        <v>260</v>
      </c>
    </row>
    <row r="240" spans="1:2" ht="30.75">
      <c r="A240" s="184" t="s">
        <v>260</v>
      </c>
      <c r="B240" s="184" t="s">
        <v>408</v>
      </c>
    </row>
    <row r="241" spans="1:2" ht="45.75">
      <c r="A241" s="184" t="s">
        <v>408</v>
      </c>
      <c r="B241" s="191"/>
    </row>
    <row r="242" spans="1:2">
      <c r="A242" s="114"/>
    </row>
    <row r="243" spans="1:2" ht="31.5">
      <c r="A243" s="109" t="s">
        <v>559</v>
      </c>
    </row>
    <row r="244" spans="1:2" ht="15.75">
      <c r="A244" s="184" t="s">
        <v>560</v>
      </c>
      <c r="B244" s="189"/>
    </row>
    <row r="245" spans="1:2" ht="30">
      <c r="A245" s="185" t="s">
        <v>561</v>
      </c>
      <c r="B245" s="189"/>
    </row>
    <row r="246" spans="1:2">
      <c r="A246" s="185" t="s">
        <v>249</v>
      </c>
      <c r="B246" s="189"/>
    </row>
    <row r="247" spans="1:2">
      <c r="A247" s="185" t="s">
        <v>254</v>
      </c>
      <c r="B247" s="189"/>
    </row>
    <row r="248" spans="1:2" ht="45.75">
      <c r="A248" s="184" t="s">
        <v>562</v>
      </c>
      <c r="B248" s="189"/>
    </row>
    <row r="249" spans="1:2" ht="15.75">
      <c r="A249" s="184" t="s">
        <v>563</v>
      </c>
      <c r="B249" s="189"/>
    </row>
    <row r="250" spans="1:2" ht="15.75">
      <c r="A250" s="184" t="s">
        <v>260</v>
      </c>
      <c r="B250" s="189"/>
    </row>
    <row r="251" spans="1:2" ht="45.75">
      <c r="A251" s="184" t="s">
        <v>408</v>
      </c>
      <c r="B251" s="189"/>
    </row>
    <row r="252" spans="1:2">
      <c r="A252" s="114"/>
    </row>
    <row r="253" spans="1:2" ht="15.75">
      <c r="A253" s="109" t="s">
        <v>433</v>
      </c>
    </row>
    <row r="254" spans="1:2" ht="15.75">
      <c r="A254" s="184" t="s">
        <v>434</v>
      </c>
      <c r="B254" s="189"/>
    </row>
    <row r="255" spans="1:2" ht="30">
      <c r="A255" s="185" t="s">
        <v>564</v>
      </c>
      <c r="B255" s="189"/>
    </row>
    <row r="256" spans="1:2" ht="30">
      <c r="A256" s="185" t="s">
        <v>565</v>
      </c>
      <c r="B256" s="189"/>
    </row>
    <row r="257" spans="1:2">
      <c r="A257" s="185" t="s">
        <v>249</v>
      </c>
      <c r="B257" s="189"/>
    </row>
    <row r="258" spans="1:2" ht="30">
      <c r="A258" s="185" t="s">
        <v>389</v>
      </c>
      <c r="B258" s="189"/>
    </row>
    <row r="259" spans="1:2">
      <c r="A259" s="185" t="s">
        <v>392</v>
      </c>
      <c r="B259" s="189"/>
    </row>
    <row r="260" spans="1:2" ht="15.75">
      <c r="A260" s="184" t="s">
        <v>437</v>
      </c>
      <c r="B260" s="189"/>
    </row>
    <row r="261" spans="1:2" ht="15.75">
      <c r="A261" s="184" t="s">
        <v>260</v>
      </c>
      <c r="B261" s="189"/>
    </row>
    <row r="262" spans="1:2" ht="45.75">
      <c r="A262" s="184" t="s">
        <v>408</v>
      </c>
      <c r="B262" s="189"/>
    </row>
    <row r="263" spans="1:2">
      <c r="A263" s="114"/>
    </row>
    <row r="264" spans="1:2" ht="15.75">
      <c r="A264" s="109" t="s">
        <v>438</v>
      </c>
    </row>
    <row r="265" spans="1:2" ht="15.75">
      <c r="A265" s="184" t="s">
        <v>439</v>
      </c>
      <c r="B265" s="184" t="s">
        <v>568</v>
      </c>
    </row>
    <row r="266" spans="1:2" ht="30">
      <c r="A266" s="185" t="s">
        <v>566</v>
      </c>
      <c r="B266" s="185" t="s">
        <v>569</v>
      </c>
    </row>
    <row r="267" spans="1:2">
      <c r="A267" s="185" t="s">
        <v>249</v>
      </c>
      <c r="B267" s="185" t="s">
        <v>570</v>
      </c>
    </row>
    <row r="268" spans="1:2" ht="15.75">
      <c r="A268" s="185" t="s">
        <v>275</v>
      </c>
      <c r="B268" s="184" t="s">
        <v>571</v>
      </c>
    </row>
    <row r="269" spans="1:2" ht="30.75">
      <c r="A269" s="184" t="s">
        <v>567</v>
      </c>
      <c r="B269" s="184" t="s">
        <v>572</v>
      </c>
    </row>
    <row r="270" spans="1:2" ht="15.75">
      <c r="A270" s="184" t="s">
        <v>260</v>
      </c>
      <c r="B270" s="184" t="s">
        <v>573</v>
      </c>
    </row>
    <row r="271" spans="1:2" ht="45.75">
      <c r="A271" s="184" t="s">
        <v>408</v>
      </c>
      <c r="B271" s="184" t="s">
        <v>574</v>
      </c>
    </row>
    <row r="272" spans="1:2">
      <c r="A272" s="114"/>
    </row>
    <row r="273" spans="1:2" ht="47.25">
      <c r="A273" s="109" t="s">
        <v>442</v>
      </c>
    </row>
    <row r="274" spans="1:2" ht="31.5">
      <c r="A274" s="184" t="s">
        <v>575</v>
      </c>
      <c r="B274" s="184" t="s">
        <v>443</v>
      </c>
    </row>
    <row r="275" spans="1:2" ht="30">
      <c r="A275" s="185" t="s">
        <v>576</v>
      </c>
      <c r="B275" s="185" t="s">
        <v>578</v>
      </c>
    </row>
    <row r="276" spans="1:2">
      <c r="A276" s="185" t="s">
        <v>249</v>
      </c>
      <c r="B276" s="185" t="s">
        <v>570</v>
      </c>
    </row>
    <row r="277" spans="1:2" ht="15.75">
      <c r="A277" s="184" t="s">
        <v>577</v>
      </c>
      <c r="B277" s="184" t="s">
        <v>579</v>
      </c>
    </row>
    <row r="278" spans="1:2" ht="15.75">
      <c r="A278" s="184" t="s">
        <v>260</v>
      </c>
      <c r="B278" s="184" t="s">
        <v>580</v>
      </c>
    </row>
    <row r="279" spans="1:2" ht="45.75">
      <c r="A279" s="184" t="s">
        <v>408</v>
      </c>
      <c r="B279" s="184" t="s">
        <v>573</v>
      </c>
    </row>
    <row r="280" spans="1:2" ht="30.75">
      <c r="A280" s="191"/>
      <c r="B280" s="184" t="s">
        <v>574</v>
      </c>
    </row>
    <row r="281" spans="1:2">
      <c r="A281" s="114"/>
    </row>
    <row r="282" spans="1:2" ht="15.75">
      <c r="A282" s="109" t="s">
        <v>447</v>
      </c>
    </row>
    <row r="283" spans="1:2" ht="31.5">
      <c r="A283" s="184" t="s">
        <v>448</v>
      </c>
      <c r="B283" s="189"/>
    </row>
    <row r="284" spans="1:2" ht="30">
      <c r="A284" s="185" t="s">
        <v>581</v>
      </c>
      <c r="B284" s="189"/>
    </row>
    <row r="285" spans="1:2">
      <c r="A285" s="185" t="s">
        <v>249</v>
      </c>
      <c r="B285" s="189"/>
    </row>
    <row r="286" spans="1:2" ht="30">
      <c r="A286" s="185" t="s">
        <v>450</v>
      </c>
      <c r="B286" s="189"/>
    </row>
    <row r="287" spans="1:2">
      <c r="A287" s="185" t="s">
        <v>392</v>
      </c>
      <c r="B287" s="189"/>
    </row>
    <row r="288" spans="1:2" ht="30.75">
      <c r="A288" s="184" t="s">
        <v>451</v>
      </c>
      <c r="B288" s="189"/>
    </row>
    <row r="289" spans="1:2" ht="15.75">
      <c r="A289" s="184" t="s">
        <v>452</v>
      </c>
      <c r="B289" s="189"/>
    </row>
    <row r="290" spans="1:2" ht="15.75">
      <c r="A290" s="184" t="s">
        <v>260</v>
      </c>
      <c r="B290" s="189"/>
    </row>
    <row r="291" spans="1:2" ht="45.75">
      <c r="A291" s="184" t="s">
        <v>408</v>
      </c>
      <c r="B291" s="189"/>
    </row>
  </sheetData>
  <mergeCells count="13">
    <mergeCell ref="B283:B291"/>
    <mergeCell ref="B132:B138"/>
    <mergeCell ref="B177:B182"/>
    <mergeCell ref="B185:B190"/>
    <mergeCell ref="B203:B210"/>
    <mergeCell ref="B213:B220"/>
    <mergeCell ref="B223:B230"/>
    <mergeCell ref="B244:B251"/>
    <mergeCell ref="B254:B262"/>
    <mergeCell ref="B32:B37"/>
    <mergeCell ref="B58:B65"/>
    <mergeCell ref="F19:F24"/>
    <mergeCell ref="F48:F53"/>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zoomScaleNormal="100" workbookViewId="0">
      <selection activeCell="C19" sqref="C19"/>
    </sheetView>
    <sheetView workbookViewId="1"/>
  </sheetViews>
  <sheetFormatPr defaultRowHeight="15"/>
  <cols>
    <col min="1" max="38" width="9.140625" style="1"/>
    <col min="39" max="39" width="0" style="1" hidden="1" customWidth="1"/>
    <col min="40" max="16384" width="9.140625" style="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Setup</vt:lpstr>
      <vt:lpstr>Course List</vt:lpstr>
      <vt:lpstr>Semester View</vt:lpstr>
      <vt:lpstr>AR</vt:lpstr>
      <vt:lpstr>Planning Sheets</vt:lpstr>
      <vt:lpstr>2015 Winterim Courses</vt:lpstr>
      <vt:lpstr>2016 Winterim Courses</vt:lpstr>
      <vt:lpstr>Notes</vt:lpstr>
      <vt:lpstr>FreshmanCredits</vt:lpstr>
      <vt:lpstr>FreshmanMin</vt:lpstr>
      <vt:lpstr>JuniorCredits</vt:lpstr>
      <vt:lpstr>JuniorMin</vt:lpstr>
      <vt:lpstr>SeniorCredits</vt:lpstr>
      <vt:lpstr>SophomoreCredits</vt:lpstr>
      <vt:lpstr>SophomoreMin</vt:lpstr>
      <vt:lpstr>StartingCredits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Bolles</dc:creator>
  <cp:lastModifiedBy>Nicholas Bolles</cp:lastModifiedBy>
  <dcterms:created xsi:type="dcterms:W3CDTF">2014-04-29T00:38:34Z</dcterms:created>
  <dcterms:modified xsi:type="dcterms:W3CDTF">2015-10-08T16:39:46Z</dcterms:modified>
</cp:coreProperties>
</file>