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sync\School\School Programming Projects\Term Scheduler\"/>
    </mc:Choice>
  </mc:AlternateContent>
  <bookViews>
    <workbookView xWindow="0" yWindow="0" windowWidth="11490" windowHeight="9120" activeTab="1"/>
  </bookViews>
  <sheets>
    <sheet name="Setup" sheetId="10" r:id="rId1"/>
    <sheet name="Course List" sheetId="8" r:id="rId2"/>
    <sheet name="Semester View" sheetId="7" r:id="rId3"/>
    <sheet name="AR" sheetId="12" r:id="rId4"/>
    <sheet name="Planning Sheets" sheetId="11" r:id="rId5"/>
    <sheet name="2015 Winterim Courses" sheetId="13" r:id="rId6"/>
    <sheet name="2016 Winterim Courses" sheetId="14" r:id="rId7"/>
    <sheet name="Notes" sheetId="4" r:id="rId8"/>
  </sheets>
  <functionGroups builtInGroupCount="18"/>
  <definedNames>
    <definedName name="FreshmanCredits">Setup!$G$15</definedName>
    <definedName name="FreshmanMax">Setup!#REF!</definedName>
    <definedName name="FreshmanMin">Setup!$G$15</definedName>
    <definedName name="JuniorCredits">Setup!$G$17</definedName>
    <definedName name="JuniorMin">Setup!$G$17</definedName>
    <definedName name="SeniorCredits">Setup!$G$18</definedName>
    <definedName name="SophomoreCredits">Setup!$G$16</definedName>
    <definedName name="SophomoreMax">Setup!#REF!</definedName>
    <definedName name="SophomoreMin">Setup!$G$16</definedName>
    <definedName name="StartingCredits">Setup!$F$10</definedName>
    <definedName name="THIS_CELL">!XEZ1048467</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09" i="7" l="1"/>
  <c r="AM109" i="7"/>
  <c r="AL109" i="7"/>
  <c r="AJ109" i="7"/>
  <c r="AI109" i="7"/>
  <c r="AH109" i="7"/>
  <c r="AD109" i="7"/>
  <c r="AC109" i="7"/>
  <c r="AB109" i="7"/>
  <c r="Z109" i="7"/>
  <c r="Y109" i="7"/>
  <c r="X109" i="7"/>
  <c r="T109" i="7"/>
  <c r="S109" i="7"/>
  <c r="R109" i="7"/>
  <c r="P109" i="7"/>
  <c r="O109" i="7"/>
  <c r="N109" i="7"/>
  <c r="J109" i="7"/>
  <c r="I109" i="7"/>
  <c r="H109" i="7"/>
  <c r="F109" i="7"/>
  <c r="E109" i="7"/>
  <c r="D109" i="7"/>
  <c r="AN108" i="7"/>
  <c r="AM108" i="7"/>
  <c r="AL108" i="7"/>
  <c r="AJ108" i="7"/>
  <c r="AI108" i="7"/>
  <c r="AH108" i="7"/>
  <c r="AD108" i="7"/>
  <c r="AC108" i="7"/>
  <c r="AB108" i="7"/>
  <c r="Z108" i="7"/>
  <c r="Y108" i="7"/>
  <c r="X108" i="7"/>
  <c r="T108" i="7"/>
  <c r="S108" i="7"/>
  <c r="R108" i="7"/>
  <c r="P108" i="7"/>
  <c r="O108" i="7"/>
  <c r="N108" i="7"/>
  <c r="J108" i="7"/>
  <c r="I108" i="7"/>
  <c r="H108" i="7"/>
  <c r="F108" i="7"/>
  <c r="E108" i="7"/>
  <c r="D108" i="7"/>
  <c r="AN107" i="7"/>
  <c r="AM107" i="7"/>
  <c r="AL107" i="7"/>
  <c r="AJ107" i="7"/>
  <c r="AI107" i="7"/>
  <c r="AH107" i="7"/>
  <c r="AD107" i="7"/>
  <c r="AC107" i="7"/>
  <c r="AB107" i="7"/>
  <c r="Z107" i="7"/>
  <c r="Y107" i="7"/>
  <c r="X107" i="7"/>
  <c r="T107" i="7"/>
  <c r="S107" i="7"/>
  <c r="R107" i="7"/>
  <c r="P107" i="7"/>
  <c r="O107" i="7"/>
  <c r="N107" i="7"/>
  <c r="J107" i="7"/>
  <c r="I107" i="7"/>
  <c r="H107" i="7"/>
  <c r="F107" i="7"/>
  <c r="E107" i="7"/>
  <c r="D107" i="7"/>
  <c r="AN106" i="7"/>
  <c r="AM106" i="7"/>
  <c r="AL106" i="7"/>
  <c r="AJ106" i="7"/>
  <c r="AI106" i="7"/>
  <c r="AH106" i="7"/>
  <c r="AD106" i="7"/>
  <c r="AC106" i="7"/>
  <c r="AB106" i="7"/>
  <c r="Z106" i="7"/>
  <c r="Y106" i="7"/>
  <c r="X106" i="7"/>
  <c r="T106" i="7"/>
  <c r="S106" i="7"/>
  <c r="R106" i="7"/>
  <c r="P106" i="7"/>
  <c r="O106" i="7"/>
  <c r="N106" i="7"/>
  <c r="J106" i="7"/>
  <c r="I106" i="7"/>
  <c r="H106" i="7"/>
  <c r="F106" i="7"/>
  <c r="E106" i="7"/>
  <c r="D106" i="7"/>
  <c r="AN105" i="7"/>
  <c r="AM105" i="7"/>
  <c r="AL105" i="7"/>
  <c r="AJ105" i="7"/>
  <c r="AI105" i="7"/>
  <c r="AH105" i="7"/>
  <c r="AD105" i="7"/>
  <c r="AC105" i="7"/>
  <c r="AB105" i="7"/>
  <c r="Z105" i="7"/>
  <c r="Y105" i="7"/>
  <c r="X105" i="7"/>
  <c r="T105" i="7"/>
  <c r="S105" i="7"/>
  <c r="R105" i="7"/>
  <c r="P105" i="7"/>
  <c r="O105" i="7"/>
  <c r="N105" i="7"/>
  <c r="J105" i="7"/>
  <c r="I105" i="7"/>
  <c r="H105" i="7"/>
  <c r="F105" i="7"/>
  <c r="E105" i="7"/>
  <c r="D105" i="7"/>
  <c r="AN104" i="7"/>
  <c r="AM104" i="7"/>
  <c r="AL104" i="7"/>
  <c r="AJ104" i="7"/>
  <c r="AI104" i="7"/>
  <c r="AH104" i="7"/>
  <c r="AD104" i="7"/>
  <c r="AC104" i="7"/>
  <c r="AB104" i="7"/>
  <c r="Z104" i="7"/>
  <c r="Y104" i="7"/>
  <c r="X104" i="7"/>
  <c r="T104" i="7"/>
  <c r="S104" i="7"/>
  <c r="R104" i="7"/>
  <c r="P104" i="7"/>
  <c r="O104" i="7"/>
  <c r="N104" i="7"/>
  <c r="J104" i="7"/>
  <c r="I104" i="7"/>
  <c r="H104" i="7"/>
  <c r="F104" i="7"/>
  <c r="E104" i="7"/>
  <c r="D104" i="7"/>
  <c r="AN103" i="7"/>
  <c r="AM103" i="7"/>
  <c r="AL103" i="7"/>
  <c r="AJ103" i="7"/>
  <c r="AI103" i="7"/>
  <c r="AH103" i="7"/>
  <c r="AD103" i="7"/>
  <c r="AC103" i="7"/>
  <c r="AB103" i="7"/>
  <c r="Z103" i="7"/>
  <c r="Y103" i="7"/>
  <c r="X103" i="7"/>
  <c r="T103" i="7"/>
  <c r="T110" i="7" s="1"/>
  <c r="S103" i="7"/>
  <c r="R103" i="7"/>
  <c r="P103" i="7"/>
  <c r="O103" i="7"/>
  <c r="N103" i="7"/>
  <c r="J103" i="7"/>
  <c r="I103" i="7"/>
  <c r="H103" i="7"/>
  <c r="F103" i="7"/>
  <c r="E103" i="7"/>
  <c r="D103" i="7"/>
  <c r="AN95" i="7"/>
  <c r="AM95" i="7"/>
  <c r="AL95" i="7"/>
  <c r="AJ95" i="7"/>
  <c r="AI95" i="7"/>
  <c r="AH95" i="7"/>
  <c r="AD95" i="7"/>
  <c r="AC95" i="7"/>
  <c r="AB95" i="7"/>
  <c r="Z95" i="7"/>
  <c r="Y95" i="7"/>
  <c r="X95" i="7"/>
  <c r="T95" i="7"/>
  <c r="S95" i="7"/>
  <c r="R95" i="7"/>
  <c r="P95" i="7"/>
  <c r="O95" i="7"/>
  <c r="N95" i="7"/>
  <c r="J95" i="7"/>
  <c r="I95" i="7"/>
  <c r="H95" i="7"/>
  <c r="F95" i="7"/>
  <c r="E95" i="7"/>
  <c r="D95" i="7"/>
  <c r="AN94" i="7"/>
  <c r="AM94" i="7"/>
  <c r="AL94" i="7"/>
  <c r="AJ94" i="7"/>
  <c r="AI94" i="7"/>
  <c r="AH94" i="7"/>
  <c r="AD94" i="7"/>
  <c r="AC94" i="7"/>
  <c r="AB94" i="7"/>
  <c r="Z94" i="7"/>
  <c r="Y94" i="7"/>
  <c r="X94" i="7"/>
  <c r="T94" i="7"/>
  <c r="S94" i="7"/>
  <c r="R94" i="7"/>
  <c r="P94" i="7"/>
  <c r="O94" i="7"/>
  <c r="N94" i="7"/>
  <c r="J94" i="7"/>
  <c r="I94" i="7"/>
  <c r="H94" i="7"/>
  <c r="F94" i="7"/>
  <c r="E94" i="7"/>
  <c r="D94" i="7"/>
  <c r="AN93" i="7"/>
  <c r="AM93" i="7"/>
  <c r="AL93" i="7"/>
  <c r="AJ93" i="7"/>
  <c r="AI93" i="7"/>
  <c r="AH93" i="7"/>
  <c r="AD93" i="7"/>
  <c r="AC93" i="7"/>
  <c r="AB93" i="7"/>
  <c r="Z93" i="7"/>
  <c r="Y93" i="7"/>
  <c r="X93" i="7"/>
  <c r="T93" i="7"/>
  <c r="S93" i="7"/>
  <c r="R93" i="7"/>
  <c r="P93" i="7"/>
  <c r="O93" i="7"/>
  <c r="N93" i="7"/>
  <c r="J93" i="7"/>
  <c r="I93" i="7"/>
  <c r="H93" i="7"/>
  <c r="F93" i="7"/>
  <c r="E93" i="7"/>
  <c r="D93" i="7"/>
  <c r="AN92" i="7"/>
  <c r="AM92" i="7"/>
  <c r="AL92" i="7"/>
  <c r="AJ92" i="7"/>
  <c r="AI92" i="7"/>
  <c r="AH92" i="7"/>
  <c r="AD92" i="7"/>
  <c r="AC92" i="7"/>
  <c r="AB92" i="7"/>
  <c r="Z92" i="7"/>
  <c r="Y92" i="7"/>
  <c r="X92" i="7"/>
  <c r="T92" i="7"/>
  <c r="S92" i="7"/>
  <c r="R92" i="7"/>
  <c r="P92" i="7"/>
  <c r="O92" i="7"/>
  <c r="N92" i="7"/>
  <c r="J92" i="7"/>
  <c r="I92" i="7"/>
  <c r="H92" i="7"/>
  <c r="F92" i="7"/>
  <c r="E92" i="7"/>
  <c r="D92" i="7"/>
  <c r="AN91" i="7"/>
  <c r="AM91" i="7"/>
  <c r="AL91" i="7"/>
  <c r="AJ91" i="7"/>
  <c r="AI91" i="7"/>
  <c r="AH91" i="7"/>
  <c r="AD91" i="7"/>
  <c r="AC91" i="7"/>
  <c r="AB91" i="7"/>
  <c r="Z91" i="7"/>
  <c r="Y91" i="7"/>
  <c r="X91" i="7"/>
  <c r="T91" i="7"/>
  <c r="S91" i="7"/>
  <c r="R91" i="7"/>
  <c r="P91" i="7"/>
  <c r="O91" i="7"/>
  <c r="N91" i="7"/>
  <c r="J91" i="7"/>
  <c r="I91" i="7"/>
  <c r="H91" i="7"/>
  <c r="F91" i="7"/>
  <c r="E91" i="7"/>
  <c r="D91" i="7"/>
  <c r="AN90" i="7"/>
  <c r="AM90" i="7"/>
  <c r="AL90" i="7"/>
  <c r="AJ90" i="7"/>
  <c r="AI90" i="7"/>
  <c r="AH90" i="7"/>
  <c r="AD90" i="7"/>
  <c r="AC90" i="7"/>
  <c r="AB90" i="7"/>
  <c r="Z90" i="7"/>
  <c r="Y90" i="7"/>
  <c r="X90" i="7"/>
  <c r="T90" i="7"/>
  <c r="S90" i="7"/>
  <c r="R90" i="7"/>
  <c r="P90" i="7"/>
  <c r="O90" i="7"/>
  <c r="N90" i="7"/>
  <c r="J90" i="7"/>
  <c r="I90" i="7"/>
  <c r="H90" i="7"/>
  <c r="F90" i="7"/>
  <c r="E90" i="7"/>
  <c r="D90" i="7"/>
  <c r="AN89" i="7"/>
  <c r="AN96" i="7" s="1"/>
  <c r="AM89" i="7"/>
  <c r="AL89" i="7"/>
  <c r="AJ89" i="7"/>
  <c r="AI89" i="7"/>
  <c r="AH89" i="7"/>
  <c r="AD89" i="7"/>
  <c r="AC89" i="7"/>
  <c r="AB89" i="7"/>
  <c r="Z89" i="7"/>
  <c r="Y89" i="7"/>
  <c r="X89" i="7"/>
  <c r="T89" i="7"/>
  <c r="T96" i="7" s="1"/>
  <c r="S89" i="7"/>
  <c r="R89" i="7"/>
  <c r="P89" i="7"/>
  <c r="P96" i="7" s="1"/>
  <c r="O89" i="7"/>
  <c r="N89" i="7"/>
  <c r="J89" i="7"/>
  <c r="J96" i="7" s="1"/>
  <c r="I89" i="7"/>
  <c r="H89" i="7"/>
  <c r="F89" i="7"/>
  <c r="E89" i="7"/>
  <c r="D89" i="7"/>
  <c r="AN81" i="7"/>
  <c r="AM81" i="7"/>
  <c r="AL81" i="7"/>
  <c r="AJ81" i="7"/>
  <c r="AI81" i="7"/>
  <c r="AH81" i="7"/>
  <c r="AD81" i="7"/>
  <c r="AC81" i="7"/>
  <c r="AB81" i="7"/>
  <c r="Z81" i="7"/>
  <c r="Y81" i="7"/>
  <c r="X81" i="7"/>
  <c r="T81" i="7"/>
  <c r="S81" i="7"/>
  <c r="R81" i="7"/>
  <c r="P81" i="7"/>
  <c r="O81" i="7"/>
  <c r="N81" i="7"/>
  <c r="J81" i="7"/>
  <c r="I81" i="7"/>
  <c r="H81" i="7"/>
  <c r="F81" i="7"/>
  <c r="E81" i="7"/>
  <c r="D81" i="7"/>
  <c r="AN80" i="7"/>
  <c r="AM80" i="7"/>
  <c r="AL80" i="7"/>
  <c r="AJ80" i="7"/>
  <c r="AI80" i="7"/>
  <c r="AH80" i="7"/>
  <c r="AD80" i="7"/>
  <c r="AC80" i="7"/>
  <c r="AB80" i="7"/>
  <c r="Z80" i="7"/>
  <c r="Y80" i="7"/>
  <c r="X80" i="7"/>
  <c r="T80" i="7"/>
  <c r="S80" i="7"/>
  <c r="R80" i="7"/>
  <c r="P80" i="7"/>
  <c r="O80" i="7"/>
  <c r="N80" i="7"/>
  <c r="J80" i="7"/>
  <c r="I80" i="7"/>
  <c r="H80" i="7"/>
  <c r="F80" i="7"/>
  <c r="E80" i="7"/>
  <c r="D80" i="7"/>
  <c r="AN79" i="7"/>
  <c r="AM79" i="7"/>
  <c r="AL79" i="7"/>
  <c r="AJ79" i="7"/>
  <c r="AI79" i="7"/>
  <c r="AH79" i="7"/>
  <c r="AD79" i="7"/>
  <c r="AC79" i="7"/>
  <c r="AB79" i="7"/>
  <c r="Z79" i="7"/>
  <c r="Y79" i="7"/>
  <c r="X79" i="7"/>
  <c r="T79" i="7"/>
  <c r="S79" i="7"/>
  <c r="R79" i="7"/>
  <c r="P79" i="7"/>
  <c r="O79" i="7"/>
  <c r="N79" i="7"/>
  <c r="J79" i="7"/>
  <c r="I79" i="7"/>
  <c r="H79" i="7"/>
  <c r="F79" i="7"/>
  <c r="E79" i="7"/>
  <c r="D79" i="7"/>
  <c r="AN78" i="7"/>
  <c r="AM78" i="7"/>
  <c r="AL78" i="7"/>
  <c r="AJ78" i="7"/>
  <c r="AI78" i="7"/>
  <c r="AH78" i="7"/>
  <c r="AD78" i="7"/>
  <c r="AC78" i="7"/>
  <c r="AB78" i="7"/>
  <c r="Z78" i="7"/>
  <c r="Y78" i="7"/>
  <c r="X78" i="7"/>
  <c r="T78" i="7"/>
  <c r="S78" i="7"/>
  <c r="R78" i="7"/>
  <c r="P78" i="7"/>
  <c r="O78" i="7"/>
  <c r="N78" i="7"/>
  <c r="J78" i="7"/>
  <c r="I78" i="7"/>
  <c r="H78" i="7"/>
  <c r="F78" i="7"/>
  <c r="E78" i="7"/>
  <c r="D78" i="7"/>
  <c r="AN77" i="7"/>
  <c r="AM77" i="7"/>
  <c r="AL77" i="7"/>
  <c r="AJ77" i="7"/>
  <c r="AI77" i="7"/>
  <c r="AH77" i="7"/>
  <c r="AD77" i="7"/>
  <c r="AC77" i="7"/>
  <c r="AB77" i="7"/>
  <c r="Z77" i="7"/>
  <c r="Y77" i="7"/>
  <c r="X77" i="7"/>
  <c r="T77" i="7"/>
  <c r="S77" i="7"/>
  <c r="R77" i="7"/>
  <c r="P77" i="7"/>
  <c r="O77" i="7"/>
  <c r="N77" i="7"/>
  <c r="J77" i="7"/>
  <c r="I77" i="7"/>
  <c r="H77" i="7"/>
  <c r="F77" i="7"/>
  <c r="E77" i="7"/>
  <c r="D77" i="7"/>
  <c r="AN76" i="7"/>
  <c r="AM76" i="7"/>
  <c r="AL76" i="7"/>
  <c r="AJ76" i="7"/>
  <c r="AI76" i="7"/>
  <c r="AH76" i="7"/>
  <c r="AD76" i="7"/>
  <c r="AC76" i="7"/>
  <c r="AB76" i="7"/>
  <c r="Z76" i="7"/>
  <c r="Y76" i="7"/>
  <c r="X76" i="7"/>
  <c r="T76" i="7"/>
  <c r="S76" i="7"/>
  <c r="R76" i="7"/>
  <c r="P76" i="7"/>
  <c r="O76" i="7"/>
  <c r="N76" i="7"/>
  <c r="J76" i="7"/>
  <c r="I76" i="7"/>
  <c r="H76" i="7"/>
  <c r="F76" i="7"/>
  <c r="E76" i="7"/>
  <c r="D76" i="7"/>
  <c r="AN75" i="7"/>
  <c r="AN82" i="7" s="1"/>
  <c r="AM75" i="7"/>
  <c r="AL75" i="7"/>
  <c r="AJ75" i="7"/>
  <c r="AI75" i="7"/>
  <c r="AH75" i="7"/>
  <c r="AD75" i="7"/>
  <c r="AC75" i="7"/>
  <c r="AB75" i="7"/>
  <c r="Z75" i="7"/>
  <c r="Y75" i="7"/>
  <c r="X75" i="7"/>
  <c r="T75" i="7"/>
  <c r="T82" i="7" s="1"/>
  <c r="S75" i="7"/>
  <c r="R75" i="7"/>
  <c r="P75" i="7"/>
  <c r="O75" i="7"/>
  <c r="N75" i="7"/>
  <c r="J75" i="7"/>
  <c r="J82" i="7" s="1"/>
  <c r="I75" i="7"/>
  <c r="H75" i="7"/>
  <c r="F75" i="7"/>
  <c r="E75" i="7"/>
  <c r="D75" i="7"/>
  <c r="AD82" i="7" l="1"/>
  <c r="AJ110" i="7"/>
  <c r="P110" i="7"/>
  <c r="T112" i="7" s="1"/>
  <c r="Z82" i="7"/>
  <c r="AN110" i="7"/>
  <c r="F82" i="7"/>
  <c r="J84" i="7" s="1"/>
  <c r="P82" i="7"/>
  <c r="T84" i="7" s="1"/>
  <c r="Z110" i="7"/>
  <c r="AJ96" i="7"/>
  <c r="AN98" i="7" s="1"/>
  <c r="AJ82" i="7"/>
  <c r="AN84" i="7" s="1"/>
  <c r="F96" i="7"/>
  <c r="J98" i="7" s="1"/>
  <c r="Z96" i="7"/>
  <c r="AD96" i="7"/>
  <c r="AD110" i="7"/>
  <c r="F110" i="7"/>
  <c r="J110" i="7"/>
  <c r="T98" i="7"/>
  <c r="D36" i="7"/>
  <c r="AN112" i="7" l="1"/>
  <c r="AD84" i="7"/>
  <c r="AD112" i="7"/>
  <c r="AD98" i="7"/>
  <c r="J112" i="7"/>
  <c r="AD19" i="7"/>
  <c r="AD20" i="7"/>
  <c r="AD21" i="7"/>
  <c r="AD22" i="7"/>
  <c r="AD23" i="7"/>
  <c r="AD24" i="7"/>
  <c r="AD25" i="7"/>
  <c r="N51" i="7"/>
  <c r="M20" i="8" l="1"/>
  <c r="X49" i="7" l="1"/>
  <c r="AN10" i="7" l="1"/>
  <c r="AM10" i="7"/>
  <c r="AL10" i="7"/>
  <c r="AJ10" i="7"/>
  <c r="AI10" i="7"/>
  <c r="AH10" i="7"/>
  <c r="AN9" i="7"/>
  <c r="AM9" i="7"/>
  <c r="AL9" i="7"/>
  <c r="AJ9" i="7"/>
  <c r="AI9" i="7"/>
  <c r="AH9" i="7"/>
  <c r="AN8" i="7"/>
  <c r="AM8" i="7"/>
  <c r="AL8" i="7"/>
  <c r="AJ8" i="7"/>
  <c r="AI8" i="7"/>
  <c r="AH8" i="7"/>
  <c r="AN7" i="7"/>
  <c r="AM7" i="7"/>
  <c r="AL7" i="7"/>
  <c r="AJ7" i="7"/>
  <c r="AI7" i="7"/>
  <c r="AH7" i="7"/>
  <c r="AN6" i="7"/>
  <c r="AM6" i="7"/>
  <c r="AL6" i="7"/>
  <c r="AJ6" i="7"/>
  <c r="AI6" i="7"/>
  <c r="AH6" i="7"/>
  <c r="AN5" i="7"/>
  <c r="AM5" i="7"/>
  <c r="AL5" i="7"/>
  <c r="AJ5" i="7"/>
  <c r="AI5" i="7"/>
  <c r="AH5" i="7"/>
  <c r="AN4" i="7"/>
  <c r="AM4" i="7"/>
  <c r="AL4" i="7"/>
  <c r="AJ4" i="7"/>
  <c r="AI4" i="7"/>
  <c r="AH4" i="7"/>
  <c r="AJ11" i="7" l="1"/>
  <c r="AN11" i="7"/>
  <c r="R20" i="8"/>
  <c r="R19" i="8"/>
  <c r="D39" i="7"/>
  <c r="D52" i="7"/>
  <c r="X38" i="7"/>
  <c r="AN67" i="7"/>
  <c r="AM67" i="7"/>
  <c r="AL67" i="7"/>
  <c r="AJ67" i="7"/>
  <c r="AI67" i="7"/>
  <c r="AH67" i="7"/>
  <c r="AN66" i="7"/>
  <c r="AM66" i="7"/>
  <c r="AL66" i="7"/>
  <c r="AJ66" i="7"/>
  <c r="AI66" i="7"/>
  <c r="AH66" i="7"/>
  <c r="AN65" i="7"/>
  <c r="AM65" i="7"/>
  <c r="AL65" i="7"/>
  <c r="AJ65" i="7"/>
  <c r="AI65" i="7"/>
  <c r="AH65" i="7"/>
  <c r="AN64" i="7"/>
  <c r="AM64" i="7"/>
  <c r="AL64" i="7"/>
  <c r="AJ64" i="7"/>
  <c r="AI64" i="7"/>
  <c r="AH64" i="7"/>
  <c r="AN63" i="7"/>
  <c r="AM63" i="7"/>
  <c r="AL63" i="7"/>
  <c r="AJ63" i="7"/>
  <c r="AI63" i="7"/>
  <c r="AH63" i="7"/>
  <c r="AN62" i="7"/>
  <c r="AM62" i="7"/>
  <c r="AL62" i="7"/>
  <c r="AJ62" i="7"/>
  <c r="AI62" i="7"/>
  <c r="AH62" i="7"/>
  <c r="AN61" i="7"/>
  <c r="AM61" i="7"/>
  <c r="AL61" i="7"/>
  <c r="AJ61" i="7"/>
  <c r="AI61" i="7"/>
  <c r="AH61" i="7"/>
  <c r="AN25" i="7"/>
  <c r="AM25" i="7"/>
  <c r="AL25" i="7"/>
  <c r="AJ25" i="7"/>
  <c r="AI25" i="7"/>
  <c r="AH25" i="7"/>
  <c r="AN24" i="7"/>
  <c r="AM24" i="7"/>
  <c r="AL24" i="7"/>
  <c r="AJ24" i="7"/>
  <c r="AI24" i="7"/>
  <c r="AH24" i="7"/>
  <c r="AN23" i="7"/>
  <c r="AM23" i="7"/>
  <c r="AL23" i="7"/>
  <c r="AJ23" i="7"/>
  <c r="AI23" i="7"/>
  <c r="AH23" i="7"/>
  <c r="AN22" i="7"/>
  <c r="AM22" i="7"/>
  <c r="AL22" i="7"/>
  <c r="AJ22" i="7"/>
  <c r="AI22" i="7"/>
  <c r="AH22" i="7"/>
  <c r="AN21" i="7"/>
  <c r="AM21" i="7"/>
  <c r="AL21" i="7"/>
  <c r="AJ21" i="7"/>
  <c r="AI21" i="7"/>
  <c r="AH21" i="7"/>
  <c r="AN20" i="7"/>
  <c r="AM20" i="7"/>
  <c r="AL20" i="7"/>
  <c r="AJ20" i="7"/>
  <c r="AI20" i="7"/>
  <c r="AH20" i="7"/>
  <c r="AN19" i="7"/>
  <c r="AM19" i="7"/>
  <c r="AL19" i="7"/>
  <c r="AJ19" i="7"/>
  <c r="AI19" i="7"/>
  <c r="AH19" i="7"/>
  <c r="AN39" i="7"/>
  <c r="AM39" i="7"/>
  <c r="AL39" i="7"/>
  <c r="AJ39" i="7"/>
  <c r="AI39" i="7"/>
  <c r="AH39" i="7"/>
  <c r="AN38" i="7"/>
  <c r="AM38" i="7"/>
  <c r="AL38" i="7"/>
  <c r="AJ38" i="7"/>
  <c r="AI38" i="7"/>
  <c r="AH38" i="7"/>
  <c r="AN37" i="7"/>
  <c r="AM37" i="7"/>
  <c r="AL37" i="7"/>
  <c r="AJ37" i="7"/>
  <c r="AI37" i="7"/>
  <c r="AH37" i="7"/>
  <c r="AN36" i="7"/>
  <c r="AM36" i="7"/>
  <c r="AL36" i="7"/>
  <c r="AJ36" i="7"/>
  <c r="AI36" i="7"/>
  <c r="AH36" i="7"/>
  <c r="AN35" i="7"/>
  <c r="AM35" i="7"/>
  <c r="AL35" i="7"/>
  <c r="AJ35" i="7"/>
  <c r="AI35" i="7"/>
  <c r="AH35" i="7"/>
  <c r="AN34" i="7"/>
  <c r="AM34" i="7"/>
  <c r="AL34" i="7"/>
  <c r="AJ34" i="7"/>
  <c r="AI34" i="7"/>
  <c r="AH34" i="7"/>
  <c r="AN33" i="7"/>
  <c r="AM33" i="7"/>
  <c r="AL33" i="7"/>
  <c r="AJ33" i="7"/>
  <c r="AI33" i="7"/>
  <c r="AH33" i="7"/>
  <c r="AN13" i="7" l="1"/>
  <c r="AJ26" i="7"/>
  <c r="AN26" i="7"/>
  <c r="AJ40" i="7"/>
  <c r="AJ68" i="7"/>
  <c r="AN40" i="7"/>
  <c r="AN68" i="7"/>
  <c r="AN53" i="7"/>
  <c r="AM53" i="7"/>
  <c r="AL53" i="7"/>
  <c r="AJ53" i="7"/>
  <c r="AI53" i="7"/>
  <c r="AH53" i="7"/>
  <c r="AN52" i="7"/>
  <c r="AM52" i="7"/>
  <c r="AL52" i="7"/>
  <c r="AJ52" i="7"/>
  <c r="AI52" i="7"/>
  <c r="AH52" i="7"/>
  <c r="AN51" i="7"/>
  <c r="AM51" i="7"/>
  <c r="AL51" i="7"/>
  <c r="AJ51" i="7"/>
  <c r="AI51" i="7"/>
  <c r="AH51" i="7"/>
  <c r="AN50" i="7"/>
  <c r="AM50" i="7"/>
  <c r="AL50" i="7"/>
  <c r="AJ50" i="7"/>
  <c r="AI50" i="7"/>
  <c r="AH50" i="7"/>
  <c r="AN49" i="7"/>
  <c r="AM49" i="7"/>
  <c r="AL49" i="7"/>
  <c r="AJ49" i="7"/>
  <c r="AI49" i="7"/>
  <c r="AH49" i="7"/>
  <c r="AN48" i="7"/>
  <c r="AM48" i="7"/>
  <c r="AL48" i="7"/>
  <c r="AJ48" i="7"/>
  <c r="AI48" i="7"/>
  <c r="AH48" i="7"/>
  <c r="AN47" i="7"/>
  <c r="AM47" i="7"/>
  <c r="AL47" i="7"/>
  <c r="AJ47" i="7"/>
  <c r="AI47" i="7"/>
  <c r="AH47" i="7"/>
  <c r="AD67" i="7"/>
  <c r="AC67" i="7"/>
  <c r="AB67" i="7"/>
  <c r="Z67" i="7"/>
  <c r="Y67" i="7"/>
  <c r="X67" i="7"/>
  <c r="T67" i="7"/>
  <c r="S67" i="7"/>
  <c r="R67" i="7"/>
  <c r="P67" i="7"/>
  <c r="O67" i="7"/>
  <c r="N67" i="7"/>
  <c r="J67" i="7"/>
  <c r="I67" i="7"/>
  <c r="H67" i="7"/>
  <c r="F67" i="7"/>
  <c r="E67" i="7"/>
  <c r="D67" i="7"/>
  <c r="AD66" i="7"/>
  <c r="AC66" i="7"/>
  <c r="AB66" i="7"/>
  <c r="Z66" i="7"/>
  <c r="Y66" i="7"/>
  <c r="X66" i="7"/>
  <c r="T66" i="7"/>
  <c r="S66" i="7"/>
  <c r="R66" i="7"/>
  <c r="P66" i="7"/>
  <c r="O66" i="7"/>
  <c r="N66" i="7"/>
  <c r="J66" i="7"/>
  <c r="I66" i="7"/>
  <c r="H66" i="7"/>
  <c r="F66" i="7"/>
  <c r="E66" i="7"/>
  <c r="D66" i="7"/>
  <c r="AD65" i="7"/>
  <c r="AC65" i="7"/>
  <c r="AB65" i="7"/>
  <c r="Z65" i="7"/>
  <c r="Y65" i="7"/>
  <c r="X65" i="7"/>
  <c r="T65" i="7"/>
  <c r="S65" i="7"/>
  <c r="R65" i="7"/>
  <c r="P65" i="7"/>
  <c r="O65" i="7"/>
  <c r="N65" i="7"/>
  <c r="J65" i="7"/>
  <c r="I65" i="7"/>
  <c r="H65" i="7"/>
  <c r="F65" i="7"/>
  <c r="E65" i="7"/>
  <c r="D65" i="7"/>
  <c r="AD64" i="7"/>
  <c r="AC64" i="7"/>
  <c r="AB64" i="7"/>
  <c r="Z64" i="7"/>
  <c r="Y64" i="7"/>
  <c r="X64" i="7"/>
  <c r="T64" i="7"/>
  <c r="S64" i="7"/>
  <c r="R64" i="7"/>
  <c r="P64" i="7"/>
  <c r="O64" i="7"/>
  <c r="N64" i="7"/>
  <c r="J64" i="7"/>
  <c r="I64" i="7"/>
  <c r="H64" i="7"/>
  <c r="F64" i="7"/>
  <c r="E64" i="7"/>
  <c r="D64" i="7"/>
  <c r="AD63" i="7"/>
  <c r="AC63" i="7"/>
  <c r="AB63" i="7"/>
  <c r="Z63" i="7"/>
  <c r="Y63" i="7"/>
  <c r="X63" i="7"/>
  <c r="T63" i="7"/>
  <c r="S63" i="7"/>
  <c r="R63" i="7"/>
  <c r="P63" i="7"/>
  <c r="O63" i="7"/>
  <c r="N63" i="7"/>
  <c r="J63" i="7"/>
  <c r="I63" i="7"/>
  <c r="H63" i="7"/>
  <c r="F63" i="7"/>
  <c r="E63" i="7"/>
  <c r="D63" i="7"/>
  <c r="AD62" i="7"/>
  <c r="AC62" i="7"/>
  <c r="AB62" i="7"/>
  <c r="Z62" i="7"/>
  <c r="Y62" i="7"/>
  <c r="X62" i="7"/>
  <c r="T62" i="7"/>
  <c r="S62" i="7"/>
  <c r="R62" i="7"/>
  <c r="P62" i="7"/>
  <c r="O62" i="7"/>
  <c r="N62" i="7"/>
  <c r="J62" i="7"/>
  <c r="I62" i="7"/>
  <c r="H62" i="7"/>
  <c r="F62" i="7"/>
  <c r="E62" i="7"/>
  <c r="D62" i="7"/>
  <c r="AD61" i="7"/>
  <c r="AC61" i="7"/>
  <c r="AB61" i="7"/>
  <c r="Z61" i="7"/>
  <c r="Y61" i="7"/>
  <c r="X61" i="7"/>
  <c r="T61" i="7"/>
  <c r="S61" i="7"/>
  <c r="R61" i="7"/>
  <c r="P61" i="7"/>
  <c r="O61" i="7"/>
  <c r="N61" i="7"/>
  <c r="J61" i="7"/>
  <c r="I61" i="7"/>
  <c r="H61" i="7"/>
  <c r="F61" i="7"/>
  <c r="E61" i="7"/>
  <c r="D61" i="7"/>
  <c r="AD53" i="7"/>
  <c r="AC53" i="7"/>
  <c r="AB53" i="7"/>
  <c r="Z53" i="7"/>
  <c r="Y53" i="7"/>
  <c r="X53" i="7"/>
  <c r="T53" i="7"/>
  <c r="S53" i="7"/>
  <c r="R53" i="7"/>
  <c r="P53" i="7"/>
  <c r="O53" i="7"/>
  <c r="N53" i="7"/>
  <c r="J53" i="7"/>
  <c r="I53" i="7"/>
  <c r="H53" i="7"/>
  <c r="F53" i="7"/>
  <c r="E53" i="7"/>
  <c r="D53" i="7"/>
  <c r="AD52" i="7"/>
  <c r="AC52" i="7"/>
  <c r="AB52" i="7"/>
  <c r="Z52" i="7"/>
  <c r="Y52" i="7"/>
  <c r="X52" i="7"/>
  <c r="T52" i="7"/>
  <c r="S52" i="7"/>
  <c r="R52" i="7"/>
  <c r="P52" i="7"/>
  <c r="O52" i="7"/>
  <c r="N52" i="7"/>
  <c r="J52" i="7"/>
  <c r="I52" i="7"/>
  <c r="H52" i="7"/>
  <c r="F52" i="7"/>
  <c r="E52" i="7"/>
  <c r="AD51" i="7"/>
  <c r="AC51" i="7"/>
  <c r="AB51" i="7"/>
  <c r="Z51" i="7"/>
  <c r="Y51" i="7"/>
  <c r="X51" i="7"/>
  <c r="T51" i="7"/>
  <c r="S51" i="7"/>
  <c r="R51" i="7"/>
  <c r="P51" i="7"/>
  <c r="O51" i="7"/>
  <c r="J51" i="7"/>
  <c r="I51" i="7"/>
  <c r="H51" i="7"/>
  <c r="F51" i="7"/>
  <c r="E51" i="7"/>
  <c r="D51" i="7"/>
  <c r="AD50" i="7"/>
  <c r="AC50" i="7"/>
  <c r="AB50" i="7"/>
  <c r="Z50" i="7"/>
  <c r="Y50" i="7"/>
  <c r="X50" i="7"/>
  <c r="T50" i="7"/>
  <c r="S50" i="7"/>
  <c r="R50" i="7"/>
  <c r="P50" i="7"/>
  <c r="O50" i="7"/>
  <c r="N50" i="7"/>
  <c r="J50" i="7"/>
  <c r="I50" i="7"/>
  <c r="H50" i="7"/>
  <c r="F50" i="7"/>
  <c r="E50" i="7"/>
  <c r="D50" i="7"/>
  <c r="AD49" i="7"/>
  <c r="AC49" i="7"/>
  <c r="AB49" i="7"/>
  <c r="Z49" i="7"/>
  <c r="Y49" i="7"/>
  <c r="T49" i="7"/>
  <c r="S49" i="7"/>
  <c r="R49" i="7"/>
  <c r="P49" i="7"/>
  <c r="O49" i="7"/>
  <c r="N49" i="7"/>
  <c r="J49" i="7"/>
  <c r="I49" i="7"/>
  <c r="H49" i="7"/>
  <c r="F49" i="7"/>
  <c r="E49" i="7"/>
  <c r="D49" i="7"/>
  <c r="AD48" i="7"/>
  <c r="AC48" i="7"/>
  <c r="AB48" i="7"/>
  <c r="Z48" i="7"/>
  <c r="Y48" i="7"/>
  <c r="X48" i="7"/>
  <c r="T48" i="7"/>
  <c r="S48" i="7"/>
  <c r="R48" i="7"/>
  <c r="P48" i="7"/>
  <c r="O48" i="7"/>
  <c r="N48" i="7"/>
  <c r="J48" i="7"/>
  <c r="I48" i="7"/>
  <c r="H48" i="7"/>
  <c r="F48" i="7"/>
  <c r="E48" i="7"/>
  <c r="D48" i="7"/>
  <c r="AD47" i="7"/>
  <c r="AC47" i="7"/>
  <c r="AB47" i="7"/>
  <c r="Z47" i="7"/>
  <c r="Y47" i="7"/>
  <c r="X47" i="7"/>
  <c r="T47" i="7"/>
  <c r="S47" i="7"/>
  <c r="R47" i="7"/>
  <c r="P47" i="7"/>
  <c r="O47" i="7"/>
  <c r="N47" i="7"/>
  <c r="J47" i="7"/>
  <c r="I47" i="7"/>
  <c r="H47" i="7"/>
  <c r="F47" i="7"/>
  <c r="E47" i="7"/>
  <c r="D47" i="7"/>
  <c r="AD39" i="7"/>
  <c r="AC39" i="7"/>
  <c r="AB39" i="7"/>
  <c r="Z39" i="7"/>
  <c r="Y39" i="7"/>
  <c r="X39" i="7"/>
  <c r="T39" i="7"/>
  <c r="S39" i="7"/>
  <c r="R39" i="7"/>
  <c r="P39" i="7"/>
  <c r="O39" i="7"/>
  <c r="N39" i="7"/>
  <c r="J39" i="7"/>
  <c r="I39" i="7"/>
  <c r="H39" i="7"/>
  <c r="F39" i="7"/>
  <c r="E39" i="7"/>
  <c r="AD38" i="7"/>
  <c r="AC38" i="7"/>
  <c r="AB38" i="7"/>
  <c r="Z38" i="7"/>
  <c r="Y38" i="7"/>
  <c r="T38" i="7"/>
  <c r="S38" i="7"/>
  <c r="R38" i="7"/>
  <c r="P38" i="7"/>
  <c r="O38" i="7"/>
  <c r="N38" i="7"/>
  <c r="J38" i="7"/>
  <c r="I38" i="7"/>
  <c r="H38" i="7"/>
  <c r="F38" i="7"/>
  <c r="E38" i="7"/>
  <c r="D38" i="7"/>
  <c r="AD37" i="7"/>
  <c r="AC37" i="7"/>
  <c r="AB37" i="7"/>
  <c r="Z37" i="7"/>
  <c r="Y37" i="7"/>
  <c r="X37" i="7"/>
  <c r="T37" i="7"/>
  <c r="S37" i="7"/>
  <c r="R37" i="7"/>
  <c r="P37" i="7"/>
  <c r="O37" i="7"/>
  <c r="N37" i="7"/>
  <c r="J37" i="7"/>
  <c r="I37" i="7"/>
  <c r="H37" i="7"/>
  <c r="F37" i="7"/>
  <c r="E37" i="7"/>
  <c r="D37" i="7"/>
  <c r="AD36" i="7"/>
  <c r="AC36" i="7"/>
  <c r="AB36" i="7"/>
  <c r="Z36" i="7"/>
  <c r="Y36" i="7"/>
  <c r="X36" i="7"/>
  <c r="T36" i="7"/>
  <c r="S36" i="7"/>
  <c r="R36" i="7"/>
  <c r="P36" i="7"/>
  <c r="O36" i="7"/>
  <c r="N36" i="7"/>
  <c r="J36" i="7"/>
  <c r="I36" i="7"/>
  <c r="H36" i="7"/>
  <c r="F36" i="7"/>
  <c r="E36" i="7"/>
  <c r="AD35" i="7"/>
  <c r="AC35" i="7"/>
  <c r="AB35" i="7"/>
  <c r="Z35" i="7"/>
  <c r="Y35" i="7"/>
  <c r="X35" i="7"/>
  <c r="T35" i="7"/>
  <c r="S35" i="7"/>
  <c r="R35" i="7"/>
  <c r="P35" i="7"/>
  <c r="O35" i="7"/>
  <c r="N35" i="7"/>
  <c r="J35" i="7"/>
  <c r="I35" i="7"/>
  <c r="H35" i="7"/>
  <c r="F35" i="7"/>
  <c r="E35" i="7"/>
  <c r="D35" i="7"/>
  <c r="AD34" i="7"/>
  <c r="AC34" i="7"/>
  <c r="AB34" i="7"/>
  <c r="Z34" i="7"/>
  <c r="Y34" i="7"/>
  <c r="X34" i="7"/>
  <c r="T34" i="7"/>
  <c r="S34" i="7"/>
  <c r="R34" i="7"/>
  <c r="P34" i="7"/>
  <c r="O34" i="7"/>
  <c r="N34" i="7"/>
  <c r="J34" i="7"/>
  <c r="I34" i="7"/>
  <c r="H34" i="7"/>
  <c r="F34" i="7"/>
  <c r="E34" i="7"/>
  <c r="D34" i="7"/>
  <c r="AD33" i="7"/>
  <c r="AC33" i="7"/>
  <c r="AB33" i="7"/>
  <c r="Z33" i="7"/>
  <c r="Y33" i="7"/>
  <c r="X33" i="7"/>
  <c r="T33" i="7"/>
  <c r="S33" i="7"/>
  <c r="R33" i="7"/>
  <c r="P33" i="7"/>
  <c r="O33" i="7"/>
  <c r="N33" i="7"/>
  <c r="J33" i="7"/>
  <c r="I33" i="7"/>
  <c r="H33" i="7"/>
  <c r="F33" i="7"/>
  <c r="E33" i="7"/>
  <c r="D33" i="7"/>
  <c r="AC25" i="7"/>
  <c r="AB25" i="7"/>
  <c r="Z25" i="7"/>
  <c r="Y25" i="7"/>
  <c r="X25" i="7"/>
  <c r="T25" i="7"/>
  <c r="S25" i="7"/>
  <c r="R25" i="7"/>
  <c r="P25" i="7"/>
  <c r="O25" i="7"/>
  <c r="N25" i="7"/>
  <c r="J25" i="7"/>
  <c r="I25" i="7"/>
  <c r="H25" i="7"/>
  <c r="F25" i="7"/>
  <c r="E25" i="7"/>
  <c r="D25" i="7"/>
  <c r="AC24" i="7"/>
  <c r="AB24" i="7"/>
  <c r="Z24" i="7"/>
  <c r="Y24" i="7"/>
  <c r="X24" i="7"/>
  <c r="T24" i="7"/>
  <c r="S24" i="7"/>
  <c r="R24" i="7"/>
  <c r="P24" i="7"/>
  <c r="O24" i="7"/>
  <c r="N24" i="7"/>
  <c r="J24" i="7"/>
  <c r="I24" i="7"/>
  <c r="H24" i="7"/>
  <c r="F24" i="7"/>
  <c r="E24" i="7"/>
  <c r="D24" i="7"/>
  <c r="AC23" i="7"/>
  <c r="AB23" i="7"/>
  <c r="Z23" i="7"/>
  <c r="Y23" i="7"/>
  <c r="X23" i="7"/>
  <c r="T23" i="7"/>
  <c r="S23" i="7"/>
  <c r="R23" i="7"/>
  <c r="P23" i="7"/>
  <c r="O23" i="7"/>
  <c r="N23" i="7"/>
  <c r="J23" i="7"/>
  <c r="I23" i="7"/>
  <c r="H23" i="7"/>
  <c r="F23" i="7"/>
  <c r="E23" i="7"/>
  <c r="D23" i="7"/>
  <c r="AC22" i="7"/>
  <c r="AB22" i="7"/>
  <c r="Z22" i="7"/>
  <c r="Y22" i="7"/>
  <c r="X22" i="7"/>
  <c r="T22" i="7"/>
  <c r="S22" i="7"/>
  <c r="R22" i="7"/>
  <c r="P22" i="7"/>
  <c r="O22" i="7"/>
  <c r="N22" i="7"/>
  <c r="J22" i="7"/>
  <c r="I22" i="7"/>
  <c r="H22" i="7"/>
  <c r="F22" i="7"/>
  <c r="E22" i="7"/>
  <c r="D22" i="7"/>
  <c r="AC21" i="7"/>
  <c r="AB21" i="7"/>
  <c r="Z21" i="7"/>
  <c r="Y21" i="7"/>
  <c r="X21" i="7"/>
  <c r="T21" i="7"/>
  <c r="S21" i="7"/>
  <c r="R21" i="7"/>
  <c r="P21" i="7"/>
  <c r="O21" i="7"/>
  <c r="N21" i="7"/>
  <c r="J21" i="7"/>
  <c r="I21" i="7"/>
  <c r="H21" i="7"/>
  <c r="F21" i="7"/>
  <c r="E21" i="7"/>
  <c r="D21" i="7"/>
  <c r="AC20" i="7"/>
  <c r="AB20" i="7"/>
  <c r="Z20" i="7"/>
  <c r="Y20" i="7"/>
  <c r="X20" i="7"/>
  <c r="T20" i="7"/>
  <c r="S20" i="7"/>
  <c r="R20" i="7"/>
  <c r="P20" i="7"/>
  <c r="O20" i="7"/>
  <c r="N20" i="7"/>
  <c r="J20" i="7"/>
  <c r="I20" i="7"/>
  <c r="H20" i="7"/>
  <c r="F20" i="7"/>
  <c r="E20" i="7"/>
  <c r="D20" i="7"/>
  <c r="AC19" i="7"/>
  <c r="AB19" i="7"/>
  <c r="Z19" i="7"/>
  <c r="Y19" i="7"/>
  <c r="X19" i="7"/>
  <c r="T19" i="7"/>
  <c r="S19" i="7"/>
  <c r="R19" i="7"/>
  <c r="P19" i="7"/>
  <c r="O19" i="7"/>
  <c r="N19" i="7"/>
  <c r="J19" i="7"/>
  <c r="I19" i="7"/>
  <c r="H19" i="7"/>
  <c r="F19" i="7"/>
  <c r="E19" i="7"/>
  <c r="D19" i="7"/>
  <c r="AD10" i="7"/>
  <c r="AC10" i="7"/>
  <c r="AB10" i="7"/>
  <c r="Z10" i="7"/>
  <c r="Y10" i="7"/>
  <c r="X10" i="7"/>
  <c r="T10" i="7"/>
  <c r="S10" i="7"/>
  <c r="R10" i="7"/>
  <c r="P10" i="7"/>
  <c r="O10" i="7"/>
  <c r="N10" i="7"/>
  <c r="J10" i="7"/>
  <c r="I10" i="7"/>
  <c r="H10" i="7"/>
  <c r="F10" i="7"/>
  <c r="E10" i="7"/>
  <c r="D10" i="7"/>
  <c r="AD9" i="7"/>
  <c r="AC9" i="7"/>
  <c r="AB9" i="7"/>
  <c r="Z9" i="7"/>
  <c r="Y9" i="7"/>
  <c r="X9" i="7"/>
  <c r="T9" i="7"/>
  <c r="S9" i="7"/>
  <c r="R9" i="7"/>
  <c r="P9" i="7"/>
  <c r="O9" i="7"/>
  <c r="N9" i="7"/>
  <c r="J9" i="7"/>
  <c r="I9" i="7"/>
  <c r="H9" i="7"/>
  <c r="F9" i="7"/>
  <c r="E9" i="7"/>
  <c r="D9" i="7"/>
  <c r="AD8" i="7"/>
  <c r="AC8" i="7"/>
  <c r="AB8" i="7"/>
  <c r="Z8" i="7"/>
  <c r="Y8" i="7"/>
  <c r="X8" i="7"/>
  <c r="T8" i="7"/>
  <c r="S8" i="7"/>
  <c r="R8" i="7"/>
  <c r="P8" i="7"/>
  <c r="O8" i="7"/>
  <c r="N8" i="7"/>
  <c r="J8" i="7"/>
  <c r="I8" i="7"/>
  <c r="H8" i="7"/>
  <c r="F8" i="7"/>
  <c r="E8" i="7"/>
  <c r="D8" i="7"/>
  <c r="AD7" i="7"/>
  <c r="AC7" i="7"/>
  <c r="AB7" i="7"/>
  <c r="Z7" i="7"/>
  <c r="Y7" i="7"/>
  <c r="X7" i="7"/>
  <c r="T7" i="7"/>
  <c r="S7" i="7"/>
  <c r="R7" i="7"/>
  <c r="P7" i="7"/>
  <c r="O7" i="7"/>
  <c r="N7" i="7"/>
  <c r="J7" i="7"/>
  <c r="I7" i="7"/>
  <c r="H7" i="7"/>
  <c r="F7" i="7"/>
  <c r="E7" i="7"/>
  <c r="D7" i="7"/>
  <c r="AD6" i="7"/>
  <c r="AC6" i="7"/>
  <c r="AB6" i="7"/>
  <c r="Z6" i="7"/>
  <c r="Y6" i="7"/>
  <c r="X6" i="7"/>
  <c r="T6" i="7"/>
  <c r="S6" i="7"/>
  <c r="R6" i="7"/>
  <c r="P6" i="7"/>
  <c r="O6" i="7"/>
  <c r="N6" i="7"/>
  <c r="J6" i="7"/>
  <c r="I6" i="7"/>
  <c r="H6" i="7"/>
  <c r="F6" i="7"/>
  <c r="E6" i="7"/>
  <c r="D6" i="7"/>
  <c r="AD5" i="7"/>
  <c r="AC5" i="7"/>
  <c r="AB5" i="7"/>
  <c r="Z5" i="7"/>
  <c r="Y5" i="7"/>
  <c r="X5" i="7"/>
  <c r="T5" i="7"/>
  <c r="S5" i="7"/>
  <c r="R5" i="7"/>
  <c r="P5" i="7"/>
  <c r="O5" i="7"/>
  <c r="N5" i="7"/>
  <c r="J5" i="7"/>
  <c r="I5" i="7"/>
  <c r="H5" i="7"/>
  <c r="F5" i="7"/>
  <c r="E5" i="7"/>
  <c r="D5" i="7"/>
  <c r="AD4" i="7"/>
  <c r="AC4" i="7"/>
  <c r="AB4" i="7"/>
  <c r="Z4" i="7"/>
  <c r="Y4" i="7"/>
  <c r="X4" i="7"/>
  <c r="T4" i="7"/>
  <c r="S4" i="7"/>
  <c r="R4" i="7"/>
  <c r="P4" i="7"/>
  <c r="O4" i="7"/>
  <c r="N4" i="7"/>
  <c r="J4" i="7"/>
  <c r="I4" i="7"/>
  <c r="H4" i="7"/>
  <c r="F4" i="7"/>
  <c r="E4" i="7"/>
  <c r="D4" i="7"/>
  <c r="H63" i="8"/>
  <c r="M21" i="8" s="1"/>
  <c r="G63" i="8"/>
  <c r="D63" i="8"/>
  <c r="O4" i="8" s="1"/>
  <c r="M43" i="8"/>
  <c r="M42" i="8"/>
  <c r="M41" i="8"/>
  <c r="M40" i="8"/>
  <c r="M39" i="8"/>
  <c r="M38" i="8"/>
  <c r="M19" i="8" l="1"/>
  <c r="AN28" i="7"/>
  <c r="AN42" i="7"/>
  <c r="AN70" i="7"/>
  <c r="F68" i="7"/>
  <c r="J68" i="7"/>
  <c r="F54" i="7"/>
  <c r="J54" i="7"/>
  <c r="AD68" i="7"/>
  <c r="P68" i="7"/>
  <c r="T68" i="7"/>
  <c r="Z68" i="7"/>
  <c r="AJ54" i="7"/>
  <c r="AN54" i="7"/>
  <c r="Z54" i="7"/>
  <c r="T26" i="7"/>
  <c r="J40" i="7"/>
  <c r="M22" i="8"/>
  <c r="M23" i="8" s="1"/>
  <c r="P40" i="7"/>
  <c r="O3" i="8"/>
  <c r="P26" i="7"/>
  <c r="AD54" i="7"/>
  <c r="AD26" i="7"/>
  <c r="F11" i="7"/>
  <c r="F12" i="7" s="1"/>
  <c r="Z26" i="7"/>
  <c r="AD40" i="7"/>
  <c r="T54" i="7"/>
  <c r="P54" i="7"/>
  <c r="Z11" i="7"/>
  <c r="P11" i="7"/>
  <c r="J26" i="7"/>
  <c r="F26" i="7"/>
  <c r="T11" i="7"/>
  <c r="J11" i="7"/>
  <c r="F40" i="7"/>
  <c r="T40" i="7"/>
  <c r="Z40" i="7"/>
  <c r="AD11" i="7"/>
  <c r="F2" i="7"/>
  <c r="M15" i="8" l="1"/>
  <c r="M14" i="8"/>
  <c r="M13" i="8"/>
  <c r="M10" i="8"/>
  <c r="M12" i="8"/>
  <c r="M11" i="8"/>
  <c r="T70" i="7"/>
  <c r="AD70" i="7"/>
  <c r="AN56" i="7"/>
  <c r="AD56" i="7"/>
  <c r="J28" i="7"/>
  <c r="T28" i="7"/>
  <c r="T13" i="7"/>
  <c r="J42" i="7"/>
  <c r="T42" i="7"/>
  <c r="F13" i="7"/>
  <c r="P13" i="7" s="1"/>
  <c r="Z13" i="7" s="1"/>
  <c r="J13" i="7"/>
  <c r="AD42" i="7"/>
  <c r="AD13" i="7"/>
  <c r="AD28" i="7"/>
  <c r="T56" i="7"/>
  <c r="J12" i="7"/>
  <c r="T12" i="7" s="1"/>
  <c r="P12" i="7"/>
  <c r="N11" i="8" l="1"/>
  <c r="R11" i="8" s="1"/>
  <c r="N12" i="8"/>
  <c r="R12" i="8" s="1"/>
  <c r="N14" i="8"/>
  <c r="N10" i="8"/>
  <c r="R10" i="8" s="1"/>
  <c r="N15" i="8"/>
  <c r="N13" i="8"/>
  <c r="F28" i="7"/>
  <c r="P28" i="7" s="1"/>
  <c r="Z28" i="7" s="1"/>
  <c r="AJ28" i="7" s="1"/>
  <c r="AJ13" i="7"/>
  <c r="J14" i="7"/>
  <c r="T14" i="7"/>
  <c r="AD12" i="7"/>
  <c r="AN12" i="7" s="1"/>
  <c r="Z12" i="7"/>
  <c r="P2" i="7"/>
  <c r="F42" i="7" l="1"/>
  <c r="P42" i="7" s="1"/>
  <c r="Z42" i="7" s="1"/>
  <c r="AJ42" i="7" s="1"/>
  <c r="O11" i="8"/>
  <c r="P11" i="8"/>
  <c r="M29" i="8"/>
  <c r="R29" i="8" s="1"/>
  <c r="Q11" i="8"/>
  <c r="M30" i="8"/>
  <c r="R30" i="8" s="1"/>
  <c r="M31" i="8"/>
  <c r="R31" i="8" s="1"/>
  <c r="R13" i="8"/>
  <c r="M33" i="8"/>
  <c r="R33" i="8" s="1"/>
  <c r="R15" i="8"/>
  <c r="M32" i="8"/>
  <c r="R32" i="8" s="1"/>
  <c r="R14" i="8"/>
  <c r="P15" i="8"/>
  <c r="O15" i="8"/>
  <c r="Q15" i="8"/>
  <c r="O14" i="8"/>
  <c r="Q14" i="8"/>
  <c r="P14" i="8"/>
  <c r="Q10" i="8"/>
  <c r="O10" i="8"/>
  <c r="P10" i="8"/>
  <c r="O12" i="8"/>
  <c r="Q12" i="8"/>
  <c r="P12" i="8"/>
  <c r="M28" i="8"/>
  <c r="R28" i="8" s="1"/>
  <c r="Q13" i="8"/>
  <c r="P13" i="8"/>
  <c r="O13" i="8"/>
  <c r="AN14" i="7"/>
  <c r="AJ12" i="7"/>
  <c r="F27" i="7"/>
  <c r="AD14" i="7"/>
  <c r="J27" i="7"/>
  <c r="AJ2" i="7"/>
  <c r="Z2" i="7"/>
  <c r="P29" i="8" l="1"/>
  <c r="Q29" i="8"/>
  <c r="N29" i="8"/>
  <c r="O29" i="8"/>
  <c r="O30" i="8"/>
  <c r="N30" i="8"/>
  <c r="Q30" i="8"/>
  <c r="P30" i="8"/>
  <c r="P31" i="8"/>
  <c r="O31" i="8"/>
  <c r="N31" i="8"/>
  <c r="O32" i="8"/>
  <c r="N32" i="8"/>
  <c r="P32" i="8"/>
  <c r="Q28" i="8"/>
  <c r="Q33" i="8"/>
  <c r="O33" i="8"/>
  <c r="P33" i="8"/>
  <c r="N33" i="8"/>
  <c r="Q32" i="8"/>
  <c r="Q31" i="8"/>
  <c r="O28" i="8"/>
  <c r="N28" i="8"/>
  <c r="P28" i="8"/>
  <c r="P27" i="7"/>
  <c r="J29" i="7"/>
  <c r="T27" i="7"/>
  <c r="F17" i="7"/>
  <c r="T29" i="7" l="1"/>
  <c r="AD27" i="7"/>
  <c r="AN27" i="7" s="1"/>
  <c r="Z27" i="7"/>
  <c r="P17" i="7"/>
  <c r="AN29" i="7" l="1"/>
  <c r="J41" i="7"/>
  <c r="AJ27" i="7"/>
  <c r="F41" i="7" s="1"/>
  <c r="AD29" i="7"/>
  <c r="AJ17" i="7"/>
  <c r="Z17" i="7"/>
  <c r="J43" i="7" l="1"/>
  <c r="T41" i="7"/>
  <c r="F31" i="7"/>
  <c r="P41" i="7" l="1"/>
  <c r="T43" i="7"/>
  <c r="AD41" i="7"/>
  <c r="AN41" i="7" s="1"/>
  <c r="P31" i="7"/>
  <c r="Z41" i="7" l="1"/>
  <c r="AJ41" i="7" s="1"/>
  <c r="AN43" i="7"/>
  <c r="J55" i="7"/>
  <c r="AD43" i="7"/>
  <c r="AJ31" i="7"/>
  <c r="Z31" i="7"/>
  <c r="F55" i="7" l="1"/>
  <c r="J56" i="7" l="1"/>
  <c r="P55" i="7"/>
  <c r="F45" i="7"/>
  <c r="P45" i="7"/>
  <c r="Z55" i="7" l="1"/>
  <c r="Z45" i="7"/>
  <c r="AJ55" i="7" l="1"/>
  <c r="T55" i="7"/>
  <c r="AD55" i="7" s="1"/>
  <c r="F56" i="7"/>
  <c r="P56" i="7" s="1"/>
  <c r="Z56" i="7" s="1"/>
  <c r="AJ45" i="7"/>
  <c r="AJ56" i="7" l="1"/>
  <c r="AD57" i="7"/>
  <c r="AN55" i="7"/>
  <c r="T57" i="7"/>
  <c r="J57" i="7"/>
  <c r="AN57" i="7" l="1"/>
  <c r="J70" i="7"/>
  <c r="F69" i="7"/>
  <c r="P69" i="7" s="1"/>
  <c r="Z69" i="7" s="1"/>
  <c r="AJ69" i="7" l="1"/>
  <c r="F83" i="7" s="1"/>
  <c r="P83" i="7" s="1"/>
  <c r="Z83" i="7" s="1"/>
  <c r="F70" i="7"/>
  <c r="J69" i="7"/>
  <c r="T69" i="7" s="1"/>
  <c r="F59" i="7"/>
  <c r="AJ83" i="7" l="1"/>
  <c r="AD69" i="7"/>
  <c r="J71" i="7"/>
  <c r="P70" i="7"/>
  <c r="T71" i="7" s="1"/>
  <c r="AJ59" i="7"/>
  <c r="AJ73" i="7"/>
  <c r="P59" i="7"/>
  <c r="F97" i="7" l="1"/>
  <c r="P97" i="7" s="1"/>
  <c r="Z97" i="7" s="1"/>
  <c r="Z70" i="7"/>
  <c r="AN69" i="7"/>
  <c r="J83" i="7" s="1"/>
  <c r="Z59" i="7"/>
  <c r="T83" i="7" l="1"/>
  <c r="AJ97" i="7"/>
  <c r="AJ70" i="7"/>
  <c r="AD71" i="7"/>
  <c r="AJ87" i="7"/>
  <c r="AN71" i="7" l="1"/>
  <c r="F84" i="7"/>
  <c r="F111" i="7"/>
  <c r="P111" i="7" s="1"/>
  <c r="Z111" i="7" s="1"/>
  <c r="AD83" i="7"/>
  <c r="F73" i="7"/>
  <c r="AJ111" i="7" l="1"/>
  <c r="AN83" i="7"/>
  <c r="P84" i="7"/>
  <c r="J85" i="7"/>
  <c r="P73" i="7"/>
  <c r="AJ101" i="7"/>
  <c r="Z84" i="7" l="1"/>
  <c r="T85" i="7"/>
  <c r="J97" i="7"/>
  <c r="Z73" i="7"/>
  <c r="T97" i="7" l="1"/>
  <c r="AJ84" i="7"/>
  <c r="AD85" i="7"/>
  <c r="F98" i="7" l="1"/>
  <c r="AN85" i="7"/>
  <c r="AD97" i="7"/>
  <c r="F87" i="7"/>
  <c r="AN97" i="7" l="1"/>
  <c r="P98" i="7"/>
  <c r="J99" i="7"/>
  <c r="P87" i="7"/>
  <c r="Z98" i="7" l="1"/>
  <c r="T99" i="7"/>
  <c r="J111" i="7"/>
  <c r="Z87" i="7"/>
  <c r="T111" i="7" l="1"/>
  <c r="AJ98" i="7"/>
  <c r="AD99" i="7"/>
  <c r="F112" i="7" l="1"/>
  <c r="AN99" i="7"/>
  <c r="AD111" i="7"/>
  <c r="F101" i="7"/>
  <c r="AN111" i="7" l="1"/>
  <c r="P112" i="7"/>
  <c r="J113" i="7"/>
  <c r="P101" i="7"/>
  <c r="Z112" i="7" l="1"/>
  <c r="T113" i="7"/>
  <c r="Z101" i="7"/>
  <c r="AJ112" i="7" l="1"/>
  <c r="AN113" i="7" s="1"/>
  <c r="AD113" i="7"/>
</calcChain>
</file>

<file path=xl/sharedStrings.xml><?xml version="1.0" encoding="utf-8"?>
<sst xmlns="http://schemas.openxmlformats.org/spreadsheetml/2006/main" count="1882" uniqueCount="692">
  <si>
    <t>Fall 2014</t>
  </si>
  <si>
    <t>Fall 2013</t>
  </si>
  <si>
    <t>Spring 2014</t>
  </si>
  <si>
    <t>Spring 2015</t>
  </si>
  <si>
    <t>Total Credits</t>
  </si>
  <si>
    <t xml:space="preserve">Fall 2016   </t>
  </si>
  <si>
    <t xml:space="preserve">Spring 2016   </t>
  </si>
  <si>
    <t>Course Name</t>
  </si>
  <si>
    <t>Course Description</t>
  </si>
  <si>
    <t>Major</t>
  </si>
  <si>
    <t>Credits</t>
  </si>
  <si>
    <t>Semester Taken</t>
  </si>
  <si>
    <t>Enrolled</t>
  </si>
  <si>
    <t>Complete</t>
  </si>
  <si>
    <t>GPA</t>
  </si>
  <si>
    <t>Winterim 2014</t>
  </si>
  <si>
    <t>Cum GPA</t>
  </si>
  <si>
    <t>Cum Grade Points</t>
  </si>
  <si>
    <t>Cum Credits</t>
  </si>
  <si>
    <t>Cum GPA Credits</t>
  </si>
  <si>
    <t>Course</t>
  </si>
  <si>
    <t>Winterim 2016</t>
  </si>
  <si>
    <t>Spring 2017</t>
  </si>
  <si>
    <t>Winterim 2017</t>
  </si>
  <si>
    <t>Name</t>
  </si>
  <si>
    <t>Degree</t>
  </si>
  <si>
    <t xml:space="preserve"> </t>
  </si>
  <si>
    <t>Grade Points</t>
  </si>
  <si>
    <t>GradePoints</t>
  </si>
  <si>
    <r>
      <t>Winterim 2015---</t>
    </r>
    <r>
      <rPr>
        <b/>
        <u/>
        <sz val="16"/>
        <color rgb="FFFF0000"/>
        <rFont val="Calibri"/>
        <family val="2"/>
        <scheme val="minor"/>
      </rPr>
      <t>Register Nov 4th</t>
    </r>
  </si>
  <si>
    <t>Notes</t>
  </si>
  <si>
    <t>Total GPA Credits</t>
  </si>
  <si>
    <t>To be lost</t>
  </si>
  <si>
    <t>A-'s</t>
  </si>
  <si>
    <t>B's</t>
  </si>
  <si>
    <t>C's</t>
  </si>
  <si>
    <t>Completed</t>
  </si>
  <si>
    <t>Completed Credits</t>
  </si>
  <si>
    <t>Current GPA</t>
  </si>
  <si>
    <t>Possible Grade Points</t>
  </si>
  <si>
    <t>Lost Grade Points</t>
  </si>
  <si>
    <t>How many more of each grade can I get then?</t>
  </si>
  <si>
    <t>What about Right now??</t>
  </si>
  <si>
    <t>At the End of my College Career I will have…</t>
  </si>
  <si>
    <t>So How many of each Letter Grade Can I get for given GPA's?</t>
  </si>
  <si>
    <t>GP can lose</t>
  </si>
  <si>
    <t>Semester GPA</t>
  </si>
  <si>
    <t xml:space="preserve">per course would lose </t>
  </si>
  <si>
    <t>A</t>
  </si>
  <si>
    <t>A-</t>
  </si>
  <si>
    <t>B</t>
  </si>
  <si>
    <t>C</t>
  </si>
  <si>
    <t>D</t>
  </si>
  <si>
    <t>F</t>
  </si>
  <si>
    <t>Summer 2017</t>
  </si>
  <si>
    <t>Winterim 2018</t>
  </si>
  <si>
    <t>Spring 2018</t>
  </si>
  <si>
    <t>Summer 2016</t>
  </si>
  <si>
    <t>Summer 2015</t>
  </si>
  <si>
    <t>Summer 2018</t>
  </si>
  <si>
    <t>Courses Left</t>
  </si>
  <si>
    <t>Courses Completed</t>
  </si>
  <si>
    <t>Counter</t>
  </si>
  <si>
    <t>D's</t>
  </si>
  <si>
    <t>Senior</t>
  </si>
  <si>
    <t>Junior</t>
  </si>
  <si>
    <t>Sophomore</t>
  </si>
  <si>
    <t>Freshmen</t>
  </si>
  <si>
    <t>Starting Credits:</t>
  </si>
  <si>
    <t xml:space="preserve">6) </t>
  </si>
  <si>
    <t>Click Here to go to the Semester View</t>
  </si>
  <si>
    <t>For Each Term enter in the name of the course into an empty bold box in that term.</t>
  </si>
  <si>
    <t>5)</t>
  </si>
  <si>
    <t>Go to the "Semester View" sheet and edit the Term names to correspond with the terms you need</t>
  </si>
  <si>
    <t>4)</t>
  </si>
  <si>
    <t>Click Here to go to the Course List Table</t>
  </si>
  <si>
    <t>Go to the "Course List" Sheet And enter in all of the courses that are required to complete your major Into the Courses Table</t>
  </si>
  <si>
    <t>3)</t>
  </si>
  <si>
    <t>Enter in the necessary setup information below, outlined in Yellow.</t>
  </si>
  <si>
    <t xml:space="preserve">2) </t>
  </si>
  <si>
    <t>Attempting to edit other cells will display an error message saying the cell is locked.</t>
  </si>
  <si>
    <t>1)</t>
  </si>
  <si>
    <t>http://www.nickbolles.com</t>
  </si>
  <si>
    <r>
      <rPr>
        <sz val="11"/>
        <color theme="4" tint="-0.499984740745262"/>
        <rFont val="Calibri"/>
        <family val="2"/>
        <scheme val="minor"/>
      </rPr>
      <t>By: Nick Bolles</t>
    </r>
    <r>
      <rPr>
        <sz val="11"/>
        <color theme="1"/>
        <rFont val="Calibri"/>
        <family val="2"/>
        <scheme val="minor"/>
      </rPr>
      <t xml:space="preserve">    Visit Me At: </t>
    </r>
  </si>
  <si>
    <t>Use The Below Area as a Scratch Area</t>
  </si>
  <si>
    <t>enter in the gradepoints for the course on the Courselist Table and enter "Y" into the Completed Column</t>
  </si>
  <si>
    <t xml:space="preserve">When a course is completed, or if you would like to see estimates of your grade, </t>
  </si>
  <si>
    <t>Grade Standing:</t>
  </si>
  <si>
    <t>2013-2014</t>
  </si>
  <si>
    <t>2014-2015</t>
  </si>
  <si>
    <t>2015-2016</t>
  </si>
  <si>
    <t>2016-2017</t>
  </si>
  <si>
    <t>2017-2018</t>
  </si>
  <si>
    <t>Fall 2017</t>
  </si>
  <si>
    <t>Winterim</t>
  </si>
  <si>
    <t>Spring</t>
  </si>
  <si>
    <t>Summer</t>
  </si>
  <si>
    <t>Enter in Starting credits from (for example) A.P. tests</t>
  </si>
  <si>
    <t>F's</t>
  </si>
  <si>
    <t xml:space="preserve">7) </t>
  </si>
  <si>
    <t>Extra Sheets can be used to paste advising reports, planning sheets, etc</t>
  </si>
  <si>
    <t>How to use this Workbook</t>
  </si>
  <si>
    <t>First: Fill Out The Following Information</t>
  </si>
  <si>
    <t>Fall 2015</t>
  </si>
  <si>
    <t>Note: This name of the course MUST match the name entered on the courses Table</t>
  </si>
  <si>
    <t>Note: Any Edits to courses must be done on the Course List Sheet, in the Courses Table</t>
  </si>
  <si>
    <r>
      <t xml:space="preserve">Only attempt to edit boxes that are outlined in </t>
    </r>
    <r>
      <rPr>
        <b/>
        <sz val="11"/>
        <rFont val="Calibri"/>
        <family val="2"/>
        <scheme val="minor"/>
      </rPr>
      <t>black,</t>
    </r>
    <r>
      <rPr>
        <sz val="11"/>
        <color theme="0"/>
        <rFont val="Calibri"/>
        <family val="2"/>
        <scheme val="minor"/>
      </rPr>
      <t xml:space="preserve"> or that are in the </t>
    </r>
    <r>
      <rPr>
        <b/>
        <sz val="11"/>
        <rFont val="Calibri"/>
        <family val="2"/>
        <scheme val="minor"/>
      </rPr>
      <t>courses-list Table</t>
    </r>
  </si>
  <si>
    <t>Tips:</t>
  </si>
  <si>
    <t xml:space="preserve"> above the section. The same can be done for a school year, by clicking the plus or minus button to the left of the section</t>
  </si>
  <si>
    <r>
      <t xml:space="preserve">You can hide/show a term type (fall, Winterim, Summer, etc) in the </t>
    </r>
    <r>
      <rPr>
        <i/>
        <sz val="11"/>
        <color theme="1"/>
        <rFont val="Calibri"/>
        <family val="2"/>
        <scheme val="minor"/>
      </rPr>
      <t xml:space="preserve">Semester View </t>
    </r>
    <r>
      <rPr>
        <sz val="11"/>
        <color theme="1"/>
        <rFont val="Calibri"/>
        <family val="2"/>
        <scheme val="minor"/>
      </rPr>
      <t xml:space="preserve">by clicking on the plus/minus button in the margin </t>
    </r>
  </si>
  <si>
    <r>
      <t xml:space="preserve">On the </t>
    </r>
    <r>
      <rPr>
        <i/>
        <sz val="11"/>
        <color theme="1"/>
        <rFont val="Calibri"/>
        <family val="2"/>
        <scheme val="minor"/>
      </rPr>
      <t>Course List</t>
    </r>
    <r>
      <rPr>
        <sz val="11"/>
        <color theme="1"/>
        <rFont val="Calibri"/>
        <family val="2"/>
        <scheme val="minor"/>
      </rPr>
      <t xml:space="preserve"> sheet, there is a section that analyzes how many of each grade you can get, for your entire college career and </t>
    </r>
  </si>
  <si>
    <t>from now until the end of your college career.</t>
  </si>
  <si>
    <t>Just make sure to enter "Y" in the Completed Column to include it into the Calculations</t>
  </si>
  <si>
    <r>
      <t xml:space="preserve">You can temperarily enter in Grade Points for a course on the </t>
    </r>
    <r>
      <rPr>
        <i/>
        <sz val="11"/>
        <color theme="1"/>
        <rFont val="Calibri"/>
        <family val="2"/>
        <scheme val="minor"/>
      </rPr>
      <t>Course List</t>
    </r>
    <r>
      <rPr>
        <sz val="11"/>
        <color theme="1"/>
        <rFont val="Calibri"/>
        <family val="2"/>
        <scheme val="minor"/>
      </rPr>
      <t xml:space="preserve"> table to see what your GPA would be in a certain scenario. </t>
    </r>
  </si>
  <si>
    <r>
      <t xml:space="preserve">If you Like this worksheet keep an eye out for my </t>
    </r>
    <r>
      <rPr>
        <b/>
        <sz val="11"/>
        <color theme="1"/>
        <rFont val="Calibri"/>
        <family val="2"/>
        <scheme val="minor"/>
      </rPr>
      <t>app,</t>
    </r>
    <r>
      <rPr>
        <sz val="11"/>
        <color theme="1"/>
        <rFont val="Calibri"/>
        <family val="2"/>
        <scheme val="minor"/>
      </rPr>
      <t xml:space="preserve"> which will make this and so much more even </t>
    </r>
    <r>
      <rPr>
        <b/>
        <sz val="11"/>
        <color theme="1"/>
        <rFont val="Calibri"/>
        <family val="2"/>
        <scheme val="minor"/>
      </rPr>
      <t>easier!</t>
    </r>
    <r>
      <rPr>
        <sz val="11"/>
        <color theme="1"/>
        <rFont val="Calibri"/>
        <family val="2"/>
        <scheme val="minor"/>
      </rPr>
      <t xml:space="preserve"> Keep an eye on </t>
    </r>
    <r>
      <rPr>
        <b/>
        <sz val="11"/>
        <color theme="1"/>
        <rFont val="Calibri"/>
        <family val="2"/>
        <scheme val="minor"/>
      </rPr>
      <t>nickbolles.com</t>
    </r>
    <r>
      <rPr>
        <sz val="11"/>
        <color theme="1"/>
        <rFont val="Calibri"/>
        <family val="2"/>
        <scheme val="minor"/>
      </rPr>
      <t xml:space="preserve"> for a release near the </t>
    </r>
    <r>
      <rPr>
        <b/>
        <sz val="11"/>
        <color theme="1"/>
        <rFont val="Calibri"/>
        <family val="2"/>
        <scheme val="minor"/>
      </rPr>
      <t>end of 2015!</t>
    </r>
  </si>
  <si>
    <t xml:space="preserve">This is used to determine what year, credit-wise you are. </t>
  </si>
  <si>
    <t>Check your Schools registrar website for this information</t>
  </si>
  <si>
    <t>ITSCM 285</t>
  </si>
  <si>
    <t>Waived</t>
  </si>
  <si>
    <t>IT</t>
  </si>
  <si>
    <t>-------------------------</t>
  </si>
  <si>
    <t>y</t>
  </si>
  <si>
    <t>CompSci 172</t>
  </si>
  <si>
    <t xml:space="preserve">Intro To Java </t>
  </si>
  <si>
    <t>fall 2013</t>
  </si>
  <si>
    <t>English 101</t>
  </si>
  <si>
    <t>English 1</t>
  </si>
  <si>
    <t>Both</t>
  </si>
  <si>
    <t>Gened 130</t>
  </si>
  <si>
    <t>Individual and Society</t>
  </si>
  <si>
    <t>GenEd 140</t>
  </si>
  <si>
    <t>Global Perspectives</t>
  </si>
  <si>
    <t>Intraunv 104</t>
  </si>
  <si>
    <t>New Student Seminar</t>
  </si>
  <si>
    <t>ITBE 141</t>
  </si>
  <si>
    <t>Intro To Business</t>
  </si>
  <si>
    <t>Account 244</t>
  </si>
  <si>
    <t>Intro To Accounting</t>
  </si>
  <si>
    <t>fall 2014</t>
  </si>
  <si>
    <t>CompSci 220</t>
  </si>
  <si>
    <t xml:space="preserve">Intermed Java </t>
  </si>
  <si>
    <t>CompSci</t>
  </si>
  <si>
    <t>Econ 245</t>
  </si>
  <si>
    <t>Business Stats</t>
  </si>
  <si>
    <t>ITSCM 280</t>
  </si>
  <si>
    <t>Excel/Access</t>
  </si>
  <si>
    <t>Math 280</t>
  </si>
  <si>
    <t>Discrete Mathmatics  3 out of 11 elective units</t>
  </si>
  <si>
    <t>BEINDP 288</t>
  </si>
  <si>
    <t>Career Information   (Changing to BEINDP 288 Fall 2015)</t>
  </si>
  <si>
    <t>n</t>
  </si>
  <si>
    <t>BEINDP 290</t>
  </si>
  <si>
    <t>Business Communication (Changing to BEINDP 290 Fall 2015)</t>
  </si>
  <si>
    <t>Comm 110</t>
  </si>
  <si>
    <t>Speech and Comm Try for Winterim</t>
  </si>
  <si>
    <t>CompSci 476</t>
  </si>
  <si>
    <t>COMPSCI 476 SOFTWARE ENGINEERING</t>
  </si>
  <si>
    <t>Diversity</t>
  </si>
  <si>
    <t>History 125 - American Hist since 1877</t>
  </si>
  <si>
    <t>CS Emphasis 1-1</t>
  </si>
  <si>
    <t>CompSci 332 Intro to AI</t>
  </si>
  <si>
    <t>CompSci 412</t>
  </si>
  <si>
    <t>Fall 2016</t>
  </si>
  <si>
    <t>CS Emphasis 1-2</t>
  </si>
  <si>
    <t>Specialization Areas (Select six credits from each of any two areas)</t>
  </si>
  <si>
    <t>CS Emphasis 2-1</t>
  </si>
  <si>
    <t>FNBSLW 344</t>
  </si>
  <si>
    <r>
      <rPr>
        <b/>
        <sz val="11"/>
        <color theme="1"/>
        <rFont val="Calibri"/>
        <family val="2"/>
        <scheme val="minor"/>
      </rPr>
      <t xml:space="preserve">S 15   UD </t>
    </r>
    <r>
      <rPr>
        <sz val="11"/>
        <color theme="1"/>
        <rFont val="Calibri"/>
        <family val="2"/>
        <scheme val="minor"/>
      </rPr>
      <t>business law</t>
    </r>
  </si>
  <si>
    <t>Could be taken summer 2015 online</t>
  </si>
  <si>
    <t>IT Elective-3</t>
  </si>
  <si>
    <t>ITSCM 320 Business Analysis -Business Analysis Emph</t>
  </si>
  <si>
    <t>ITSCM 306</t>
  </si>
  <si>
    <r>
      <rPr>
        <b/>
        <sz val="11"/>
        <color theme="1"/>
        <rFont val="Calibri"/>
        <family val="2"/>
        <scheme val="minor"/>
      </rPr>
      <t xml:space="preserve">SW15 UD </t>
    </r>
    <r>
      <rPr>
        <sz val="11"/>
        <color theme="1"/>
        <rFont val="Calibri"/>
        <family val="2"/>
        <scheme val="minor"/>
      </rPr>
      <t>Operations Mngmt</t>
    </r>
  </si>
  <si>
    <t>Could be taken summer 2015 online or winterim 2015</t>
  </si>
  <si>
    <t>Bio 120</t>
  </si>
  <si>
    <t xml:space="preserve">Bio 120--Intro To Bio  </t>
  </si>
  <si>
    <t>Econ 201</t>
  </si>
  <si>
    <t>Economics</t>
  </si>
  <si>
    <t>English 102</t>
  </si>
  <si>
    <t>English 2</t>
  </si>
  <si>
    <t>ITSCM 221</t>
  </si>
  <si>
    <t>Intro To Networking</t>
  </si>
  <si>
    <t>PEGNRL 192</t>
  </si>
  <si>
    <t>Health</t>
  </si>
  <si>
    <t>Account 249</t>
  </si>
  <si>
    <t>Intermediate Accounting</t>
  </si>
  <si>
    <t>spring 2015</t>
  </si>
  <si>
    <t>CompSci 223</t>
  </si>
  <si>
    <t>Data Structures</t>
  </si>
  <si>
    <t>CompSci 271</t>
  </si>
  <si>
    <t>Assembly Programming</t>
  </si>
  <si>
    <t>Econ 202</t>
  </si>
  <si>
    <t>Macro Economics</t>
  </si>
  <si>
    <t>International Req</t>
  </si>
  <si>
    <t>Geography 230</t>
  </si>
  <si>
    <t>IT Elective-2</t>
  </si>
  <si>
    <t>Spring 2016</t>
  </si>
  <si>
    <t>CompSci 433</t>
  </si>
  <si>
    <t>THEORY OF ALGORITHMS</t>
  </si>
  <si>
    <t>FNBSLW 341</t>
  </si>
  <si>
    <t>SW15 W16 UD Intro tobusiness law</t>
  </si>
  <si>
    <t>IT Elective-1</t>
  </si>
  <si>
    <r>
      <rPr>
        <b/>
        <sz val="11"/>
        <color rgb="FFFF0000"/>
        <rFont val="Calibri"/>
        <family val="2"/>
        <scheme val="minor"/>
      </rPr>
      <t xml:space="preserve">ITSCM 314 </t>
    </r>
    <r>
      <rPr>
        <sz val="11"/>
        <color theme="1"/>
        <rFont val="Calibri"/>
        <family val="2"/>
        <scheme val="minor"/>
      </rPr>
      <t>Advanced Database Design -Business Analysis Emph</t>
    </r>
  </si>
  <si>
    <t>IT Elective-4</t>
  </si>
  <si>
    <t>Makeup for CompSci 174</t>
  </si>
  <si>
    <t>Intro to C++   because 171 wont count towards both majors</t>
  </si>
  <si>
    <t>CS Elective</t>
  </si>
  <si>
    <t>300 Level CS course 3 out of 11 elective units</t>
  </si>
  <si>
    <t>CS Emphasis 2-2</t>
  </si>
  <si>
    <t>ITSCM 385</t>
  </si>
  <si>
    <t>Project Management</t>
  </si>
  <si>
    <t>ITSCM 451</t>
  </si>
  <si>
    <t>Managing Information Technology Systems</t>
  </si>
  <si>
    <t>Makeup For ITSCM 285</t>
  </si>
  <si>
    <t>Management 489</t>
  </si>
  <si>
    <t>SW15 Sr Level</t>
  </si>
  <si>
    <t>English 370</t>
  </si>
  <si>
    <t>S15  Or English 372</t>
  </si>
  <si>
    <t>GENED 390</t>
  </si>
  <si>
    <t>SW15 World of Ideas</t>
  </si>
  <si>
    <t>Marketing 311</t>
  </si>
  <si>
    <r>
      <t>S15   UD</t>
    </r>
    <r>
      <rPr>
        <sz val="11"/>
        <color theme="1"/>
        <rFont val="Calibri"/>
        <family val="2"/>
        <scheme val="minor"/>
      </rPr>
      <t xml:space="preserve"> Marketing</t>
    </r>
  </si>
  <si>
    <t>Management 301</t>
  </si>
  <si>
    <r>
      <t xml:space="preserve">S15  UD </t>
    </r>
    <r>
      <rPr>
        <sz val="11"/>
        <color theme="1"/>
        <rFont val="Calibri"/>
        <family val="2"/>
        <scheme val="minor"/>
      </rPr>
      <t>Organizational Behavior</t>
    </r>
  </si>
  <si>
    <t>Gened 110</t>
  </si>
  <si>
    <t>WOTA</t>
  </si>
  <si>
    <t>Gened 390</t>
  </si>
  <si>
    <t>Summer 2014</t>
  </si>
  <si>
    <t>Makeup for ITSCM 285</t>
  </si>
  <si>
    <t>Itscm 385</t>
  </si>
  <si>
    <t>2015 Schedule Of Classes</t>
  </si>
  <si>
    <t>CORE COURSES</t>
  </si>
  <si>
    <t>These courses may not be taken on a S/NC basis</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</si>
  <si>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 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</si>
  <si>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World of the Arts</t>
  </si>
  <si>
    <t>Historical Perspectives</t>
  </si>
  <si>
    <t>ACCOUNTING</t>
  </si>
  <si>
    <t>CURRICULUM &amp; INSTRUCTION</t>
  </si>
  <si>
    <t>GENED 110, Section 1</t>
  </si>
  <si>
    <t>GENED 120, Section 1</t>
  </si>
  <si>
    <t>Introduction to Managerial Accounting</t>
  </si>
  <si>
    <t>Introduction to Financial Accounting</t>
  </si>
  <si>
    <t>Reading in the Elementary/Middle School</t>
  </si>
  <si>
    <t>3 Units</t>
  </si>
  <si>
    <t>ACCOUNT 249, Section 22</t>
  </si>
  <si>
    <t>ACCOUNT 748, Section 1</t>
  </si>
  <si>
    <t>READING 360, Section 1</t>
  </si>
  <si>
    <t>General Education (GA)</t>
  </si>
  <si>
    <t>General Education (GH)</t>
  </si>
  <si>
    <r>
      <t>Instructor:</t>
    </r>
    <r>
      <rPr>
        <sz val="12"/>
        <color rgb="FF666666"/>
        <rFont val="Arial"/>
        <family val="2"/>
      </rPr>
      <t> Charles Grover</t>
    </r>
  </si>
  <si>
    <r>
      <t>Instructor:</t>
    </r>
    <r>
      <rPr>
        <sz val="12"/>
        <color rgb="FF666666"/>
        <rFont val="Arial"/>
        <family val="2"/>
      </rPr>
      <t> Adam Paddock</t>
    </r>
  </si>
  <si>
    <r>
      <t>Prereq:</t>
    </r>
    <r>
      <rPr>
        <sz val="12"/>
        <color rgb="FF666666"/>
        <rFont val="Arial"/>
        <family val="2"/>
      </rPr>
      <t> ACCOUNT 244</t>
    </r>
  </si>
  <si>
    <r>
      <t>Prereq:</t>
    </r>
    <r>
      <rPr>
        <sz val="12"/>
        <color rgb="FF666666"/>
        <rFont val="Arial"/>
        <family val="2"/>
      </rPr>
      <t> ACCOUNT 343 or consent of department.</t>
    </r>
  </si>
  <si>
    <r>
      <t>Prereq:</t>
    </r>
    <r>
      <rPr>
        <sz val="12"/>
        <color rgb="FF666666"/>
        <rFont val="Arial"/>
        <family val="2"/>
      </rPr>
      <t> Admission to Professional Education</t>
    </r>
  </si>
  <si>
    <r>
      <t>Location:</t>
    </r>
    <r>
      <rPr>
        <sz val="12"/>
        <color rgb="FF666666"/>
        <rFont val="Arial"/>
        <family val="2"/>
      </rPr>
      <t> Online</t>
    </r>
  </si>
  <si>
    <r>
      <t>Instructor:</t>
    </r>
    <r>
      <rPr>
        <sz val="12"/>
        <color rgb="FF666666"/>
        <rFont val="Arial"/>
        <family val="2"/>
      </rPr>
      <t> Robert Gruber</t>
    </r>
  </si>
  <si>
    <r>
      <t>Instructor:</t>
    </r>
    <r>
      <rPr>
        <sz val="12"/>
        <color rgb="FF666666"/>
        <rFont val="Arial"/>
        <family val="2"/>
      </rPr>
      <t> Meifang Xiang</t>
    </r>
  </si>
  <si>
    <r>
      <t>Instructor:</t>
    </r>
    <r>
      <rPr>
        <sz val="12"/>
        <color rgb="FF666666"/>
        <rFont val="Arial"/>
        <family val="2"/>
      </rPr>
      <t> Patricia Shaw</t>
    </r>
  </si>
  <si>
    <r>
      <t>Note:</t>
    </r>
    <r>
      <rPr>
        <sz val="12"/>
        <color rgb="FF666666"/>
        <rFont val="Arial"/>
        <family val="2"/>
      </rPr>
      <t> $150 distance education fee added to tuition</t>
    </r>
  </si>
  <si>
    <r>
      <t>Location:</t>
    </r>
    <r>
      <rPr>
        <sz val="12"/>
        <color rgb="FF666666"/>
        <rFont val="Arial"/>
        <family val="2"/>
      </rPr>
      <t> Hyland 2310</t>
    </r>
  </si>
  <si>
    <t>World of Ideas</t>
  </si>
  <si>
    <r>
      <t>Note:</t>
    </r>
    <r>
      <rPr>
        <sz val="12"/>
        <color rgb="FF666666"/>
        <rFont val="Arial"/>
        <family val="2"/>
      </rPr>
      <t> Tuition for online COBE undergraduate courses is $389 per credit.</t>
    </r>
  </si>
  <si>
    <r>
      <t>Schedule:</t>
    </r>
    <r>
      <rPr>
        <sz val="12"/>
        <color rgb="FF666666"/>
        <rFont val="Arial"/>
        <family val="2"/>
      </rPr>
      <t> 1:30-4:35 p.m., MTWRF</t>
    </r>
  </si>
  <si>
    <t>GENED 130, Section 1</t>
  </si>
  <si>
    <t>GENED 390, Section 1</t>
  </si>
  <si>
    <t>FINANCE &amp; BUSINESS LAW</t>
  </si>
  <si>
    <t>EDUCATIONAL FOUNDATIONS</t>
  </si>
  <si>
    <t>Business and Commercial Law</t>
  </si>
  <si>
    <t>Measurement and Evaluation in Physical Education</t>
  </si>
  <si>
    <t>General Education (GS)</t>
  </si>
  <si>
    <t>FNBSLW 341, Section 1</t>
  </si>
  <si>
    <t>EDFOUND 423, Section 1</t>
  </si>
  <si>
    <r>
      <t>Instructor:</t>
    </r>
    <r>
      <rPr>
        <sz val="12"/>
        <color rgb="FF666666"/>
        <rFont val="Arial"/>
        <family val="2"/>
      </rPr>
      <t> Michael Oldani</t>
    </r>
  </si>
  <si>
    <r>
      <t>Prereq:</t>
    </r>
    <r>
      <rPr>
        <sz val="12"/>
        <color rgb="FF666666"/>
        <rFont val="Arial"/>
        <family val="2"/>
      </rPr>
      <t> Completion of English proficiency, junior standing and completion of all other core courses.</t>
    </r>
  </si>
  <si>
    <r>
      <t>Instructor:</t>
    </r>
    <r>
      <rPr>
        <sz val="12"/>
        <color rgb="FF666666"/>
        <rFont val="Arial"/>
        <family val="2"/>
      </rPr>
      <t> David Cartwright</t>
    </r>
  </si>
  <si>
    <r>
      <t>Instructor:</t>
    </r>
    <r>
      <rPr>
        <sz val="12"/>
        <color rgb="FF666666"/>
        <rFont val="Arial"/>
        <family val="2"/>
      </rPr>
      <t> Jonathan Saffold and Curt Weber</t>
    </r>
  </si>
  <si>
    <r>
      <t>Prereq:</t>
    </r>
    <r>
      <rPr>
        <sz val="12"/>
        <color rgb="FF666666"/>
        <rFont val="Arial"/>
        <family val="2"/>
      </rPr>
      <t> Junior status and admission to Professional Education</t>
    </r>
  </si>
  <si>
    <r>
      <t>Location:</t>
    </r>
    <r>
      <rPr>
        <sz val="12"/>
        <color rgb="FF666666"/>
        <rFont val="Arial"/>
        <family val="2"/>
      </rPr>
      <t> Hyer 217</t>
    </r>
  </si>
  <si>
    <r>
      <t>Location:</t>
    </r>
    <r>
      <rPr>
        <sz val="12"/>
        <color rgb="FF666666"/>
        <rFont val="Arial"/>
        <family val="2"/>
      </rPr>
      <t> Hyland 2317</t>
    </r>
  </si>
  <si>
    <r>
      <t>Instructor:</t>
    </r>
    <r>
      <rPr>
        <sz val="12"/>
        <color rgb="FF666666"/>
        <rFont val="Arial"/>
        <family val="2"/>
      </rPr>
      <t> Michael Laughlin</t>
    </r>
  </si>
  <si>
    <r>
      <t>Schedule:</t>
    </r>
    <r>
      <rPr>
        <sz val="12"/>
        <color rgb="FF666666"/>
        <rFont val="Arial"/>
        <family val="2"/>
      </rPr>
      <t> 8:30-11:35 a.m., MTWRF</t>
    </r>
  </si>
  <si>
    <r>
      <t>Schedule:</t>
    </r>
    <r>
      <rPr>
        <sz val="12"/>
        <color rgb="FF666666"/>
        <rFont val="Arial"/>
        <family val="2"/>
      </rPr>
      <t> 8:30 - 11:35a.m., MTWRF</t>
    </r>
  </si>
  <si>
    <t>INFORMATION TECHNOLOGY &amp; SUPPLY CHAIN MANAGEMENT</t>
  </si>
  <si>
    <t>GENED 390, Section 2</t>
  </si>
  <si>
    <t>Operations Management</t>
  </si>
  <si>
    <t>Business Communications</t>
  </si>
  <si>
    <t>ITSCM 306, Section 22</t>
  </si>
  <si>
    <t>ITBE 353, Section 1</t>
  </si>
  <si>
    <t>HEALTH, PHYSICAL EDUCATION, RECREATION &amp; COACHING</t>
  </si>
  <si>
    <t>Introduction to Coaching</t>
  </si>
  <si>
    <t>Personal Health and Fitness for Life</t>
  </si>
  <si>
    <r>
      <t>Prereq:</t>
    </r>
    <r>
      <rPr>
        <sz val="12"/>
        <color rgb="FF666666"/>
        <rFont val="Arial"/>
        <family val="2"/>
      </rPr>
      <t> MATH 143 or MATH 243 or MATH 250 or (MATH 253 or ECON 245)</t>
    </r>
  </si>
  <si>
    <r>
      <t>Instructor:</t>
    </r>
    <r>
      <rPr>
        <sz val="12"/>
        <color rgb="FF666666"/>
        <rFont val="Arial"/>
        <family val="2"/>
      </rPr>
      <t> Jo Ann Oravec</t>
    </r>
  </si>
  <si>
    <t>COACHING 240, Section 1</t>
  </si>
  <si>
    <t>PEGNRL 192, Section 1</t>
  </si>
  <si>
    <r>
      <t>Instructor:</t>
    </r>
    <r>
      <rPr>
        <sz val="12"/>
        <color rgb="FF666666"/>
        <rFont val="Arial"/>
        <family val="2"/>
      </rPr>
      <t> Olesya Ostapenko</t>
    </r>
  </si>
  <si>
    <r>
      <t>Instructor:</t>
    </r>
    <r>
      <rPr>
        <sz val="12"/>
        <color rgb="FF666666"/>
        <rFont val="Arial"/>
        <family val="2"/>
      </rPr>
      <t> James Sisak</t>
    </r>
  </si>
  <si>
    <r>
      <t>Location:</t>
    </r>
    <r>
      <rPr>
        <sz val="12"/>
        <color rgb="FF666666"/>
        <rFont val="Arial"/>
        <family val="2"/>
      </rPr>
      <t> Hyland 2307</t>
    </r>
  </si>
  <si>
    <t>2 Units</t>
  </si>
  <si>
    <t>1 Unit</t>
  </si>
  <si>
    <r>
      <t>Schedule:</t>
    </r>
    <r>
      <rPr>
        <sz val="12"/>
        <color rgb="FF666666"/>
        <rFont val="Arial"/>
        <family val="2"/>
      </rPr>
      <t> 8:30-11:35a.m., MTWRF</t>
    </r>
  </si>
  <si>
    <r>
      <t>Instructor:</t>
    </r>
    <r>
      <rPr>
        <sz val="12"/>
        <color rgb="FF666666"/>
        <rFont val="Arial"/>
        <family val="2"/>
      </rPr>
      <t> Michael Johnson</t>
    </r>
  </si>
  <si>
    <t>COLLEGE OF ARTS &amp; COMMUNICATION</t>
  </si>
  <si>
    <r>
      <t>Note:</t>
    </r>
    <r>
      <rPr>
        <sz val="12"/>
        <color rgb="FF666666"/>
        <rFont val="Arial"/>
        <family val="2"/>
      </rPr>
      <t> $100 distance education fee added to tuition</t>
    </r>
  </si>
  <si>
    <r>
      <t>Note:</t>
    </r>
    <r>
      <rPr>
        <sz val="12"/>
        <color rgb="FF666666"/>
        <rFont val="Arial"/>
        <family val="2"/>
      </rPr>
      <t> $50 distance education fee added to tuition</t>
    </r>
  </si>
  <si>
    <t>ART &amp; DESIGN</t>
  </si>
  <si>
    <t>ITBE 353, Section 22</t>
  </si>
  <si>
    <t>History and Social Aspects of Coaching</t>
  </si>
  <si>
    <t>Art Appreciation</t>
  </si>
  <si>
    <t>Visual Design for Digital Media</t>
  </si>
  <si>
    <t>COACHING 260, Section 1</t>
  </si>
  <si>
    <t>PEGNRL 192, Section 2</t>
  </si>
  <si>
    <t>ARTHIST 111, Section 1</t>
  </si>
  <si>
    <t>MAGD 210, Section 1</t>
  </si>
  <si>
    <r>
      <t>Instructor:</t>
    </r>
    <r>
      <rPr>
        <sz val="12"/>
        <color rgb="FF666666"/>
        <rFont val="Arial"/>
        <family val="2"/>
      </rPr>
      <t> John Smith</t>
    </r>
  </si>
  <si>
    <r>
      <t>Instructor:</t>
    </r>
    <r>
      <rPr>
        <sz val="12"/>
        <color rgb="FF666666"/>
        <rFont val="Arial"/>
        <family val="2"/>
      </rPr>
      <t> Dianne Jones</t>
    </r>
  </si>
  <si>
    <r>
      <t>Instructor:</t>
    </r>
    <r>
      <rPr>
        <sz val="12"/>
        <color rgb="FF666666"/>
        <rFont val="Arial"/>
        <family val="2"/>
      </rPr>
      <t> Jennifer Regan</t>
    </r>
  </si>
  <si>
    <r>
      <t>Instructor:</t>
    </r>
    <r>
      <rPr>
        <sz val="12"/>
        <color rgb="FF666666"/>
        <rFont val="Arial"/>
        <family val="2"/>
      </rPr>
      <t> Adrienne Foster</t>
    </r>
  </si>
  <si>
    <r>
      <t>Instructor:</t>
    </r>
    <r>
      <rPr>
        <sz val="12"/>
        <color rgb="FF666666"/>
        <rFont val="Arial"/>
        <family val="2"/>
      </rPr>
      <t> Chris Henige</t>
    </r>
  </si>
  <si>
    <t>MANAGEMENT</t>
  </si>
  <si>
    <t>Organizational Behavior</t>
  </si>
  <si>
    <t>Field Study in Coaching</t>
  </si>
  <si>
    <t>Health Promotion Management</t>
  </si>
  <si>
    <t>MANGEMNT 301, Section 1</t>
  </si>
  <si>
    <t>MANGEMNT 301, Section 22</t>
  </si>
  <si>
    <t>COACHING 492, Section 1</t>
  </si>
  <si>
    <t>PEPROF 480/680, Section 1</t>
  </si>
  <si>
    <t>COMMUNICATION</t>
  </si>
  <si>
    <t>2-3 Units</t>
  </si>
  <si>
    <t>Introduction to Human Communication</t>
  </si>
  <si>
    <r>
      <t>Instructor:</t>
    </r>
    <r>
      <rPr>
        <sz val="12"/>
        <color rgb="FF666666"/>
        <rFont val="Arial"/>
        <family val="2"/>
      </rPr>
      <t> Yezdi Godiwalla</t>
    </r>
  </si>
  <si>
    <r>
      <t>Instructor:</t>
    </r>
    <r>
      <rPr>
        <sz val="12"/>
        <color rgb="FF666666"/>
        <rFont val="Arial"/>
        <family val="2"/>
      </rPr>
      <t> Megan Matthews</t>
    </r>
  </si>
  <si>
    <r>
      <t>Instructor:</t>
    </r>
    <r>
      <rPr>
        <sz val="12"/>
        <color rgb="FF666666"/>
        <rFont val="Arial"/>
        <family val="2"/>
      </rPr>
      <t> Kelly Witte</t>
    </r>
  </si>
  <si>
    <r>
      <t>Instructor:</t>
    </r>
    <r>
      <rPr>
        <sz val="12"/>
        <color rgb="FF666666"/>
        <rFont val="Arial"/>
        <family val="2"/>
      </rPr>
      <t> Brandi Niemeier</t>
    </r>
  </si>
  <si>
    <t>COMM 110, Section 1</t>
  </si>
  <si>
    <t>COMM 110, Section 2</t>
  </si>
  <si>
    <r>
      <t>Location:</t>
    </r>
    <r>
      <rPr>
        <sz val="12"/>
        <color rgb="FF666666"/>
        <rFont val="Arial"/>
        <family val="2"/>
      </rPr>
      <t> Hyland 2305</t>
    </r>
  </si>
  <si>
    <r>
      <t>Location:</t>
    </r>
    <r>
      <rPr>
        <sz val="12"/>
        <color rgb="FF666666"/>
        <rFont val="Arial"/>
        <family val="2"/>
      </rPr>
      <t> Arranged</t>
    </r>
  </si>
  <si>
    <r>
      <t>Schedule:</t>
    </r>
    <r>
      <rPr>
        <sz val="12"/>
        <color rgb="FF666666"/>
        <rFont val="Arial"/>
        <family val="2"/>
      </rPr>
      <t> Hybrid course meets from 8:30-11:35 a.m. on January 2, 5, 6, 7, 8, 9, &amp; 12. Remaining contact hours online.</t>
    </r>
  </si>
  <si>
    <r>
      <t>Note:</t>
    </r>
    <r>
      <rPr>
        <sz val="12"/>
        <color rgb="FF666666"/>
        <rFont val="Arial"/>
        <family val="2"/>
      </rPr>
      <t> Department consent required</t>
    </r>
  </si>
  <si>
    <t>General Education (CC)</t>
  </si>
  <si>
    <t>Human Resource Management</t>
  </si>
  <si>
    <t>Research in Health and Physical Activity</t>
  </si>
  <si>
    <t>PreK-12 Sexuality Education</t>
  </si>
  <si>
    <r>
      <t>Instructor:</t>
    </r>
    <r>
      <rPr>
        <sz val="12"/>
        <color rgb="FF666666"/>
        <rFont val="Arial"/>
        <family val="2"/>
      </rPr>
      <t> Jodi Galvan</t>
    </r>
  </si>
  <si>
    <r>
      <t>Instructor:</t>
    </r>
    <r>
      <rPr>
        <sz val="12"/>
        <color rgb="FF666666"/>
        <rFont val="Arial"/>
        <family val="2"/>
      </rPr>
      <t> Brian Lucas</t>
    </r>
  </si>
  <si>
    <t>MANGEMNT 301, Section 23</t>
  </si>
  <si>
    <t>MANGEMNT 320, Section 22</t>
  </si>
  <si>
    <t>HEALTHED 471/671, Section 1</t>
  </si>
  <si>
    <t>HEALTHED 344/544, Section 1</t>
  </si>
  <si>
    <r>
      <t>Instructor:</t>
    </r>
    <r>
      <rPr>
        <sz val="12"/>
        <color rgb="FF666666"/>
        <rFont val="Arial"/>
        <family val="2"/>
      </rPr>
      <t> Aditya Simha</t>
    </r>
  </si>
  <si>
    <r>
      <t>Instructor:</t>
    </r>
    <r>
      <rPr>
        <sz val="12"/>
        <color rgb="FF666666"/>
        <rFont val="Arial"/>
        <family val="2"/>
      </rPr>
      <t> Young Chang</t>
    </r>
  </si>
  <si>
    <r>
      <t>Prereq:</t>
    </r>
    <r>
      <rPr>
        <sz val="12"/>
        <color rgb="FF666666"/>
        <rFont val="Arial"/>
        <family val="2"/>
      </rPr>
      <t> Junior/Senior Status or Consent of Instructor</t>
    </r>
  </si>
  <si>
    <r>
      <t>Instructor:</t>
    </r>
    <r>
      <rPr>
        <sz val="12"/>
        <color rgb="FF666666"/>
        <rFont val="Arial"/>
        <family val="2"/>
      </rPr>
      <t> Cristy Jefson</t>
    </r>
  </si>
  <si>
    <r>
      <t>Instructor:</t>
    </r>
    <r>
      <rPr>
        <sz val="12"/>
        <color rgb="FF666666"/>
        <rFont val="Arial"/>
        <family val="2"/>
      </rPr>
      <t> Ann Garvin</t>
    </r>
  </si>
  <si>
    <r>
      <t>Location:</t>
    </r>
    <r>
      <rPr>
        <sz val="12"/>
        <color rgb="FF666666"/>
        <rFont val="Arial"/>
        <family val="2"/>
      </rPr>
      <t> WC 184</t>
    </r>
  </si>
  <si>
    <t>COMM 110, Section 3</t>
  </si>
  <si>
    <t>COMM 110, section 4</t>
  </si>
  <si>
    <r>
      <t>Location:</t>
    </r>
    <r>
      <rPr>
        <sz val="12"/>
        <color rgb="FF666666"/>
        <rFont val="Arial"/>
        <family val="2"/>
      </rPr>
      <t> WC 185</t>
    </r>
  </si>
  <si>
    <r>
      <t>Schedule:</t>
    </r>
    <r>
      <rPr>
        <sz val="12"/>
        <color rgb="FF666666"/>
        <rFont val="Arial"/>
        <family val="2"/>
      </rPr>
      <t> Hybrid course meets on December 29, 30, and January 15, 8:30 a.m.-4:00 p.m. Remaining contact hours online.</t>
    </r>
  </si>
  <si>
    <t>Administrative Policy</t>
  </si>
  <si>
    <r>
      <t>Schedule:</t>
    </r>
    <r>
      <rPr>
        <sz val="12"/>
        <color rgb="FF666666"/>
        <rFont val="Arial"/>
        <family val="2"/>
      </rPr>
      <t> Hybrid course meets on December 29 + 30 and January 15 - 8:30 am - 4:00 pm. Remaining contact hours online.</t>
    </r>
  </si>
  <si>
    <t>MANGEMNT 489, Section 22</t>
  </si>
  <si>
    <t>Career and Professional Development Strategies</t>
  </si>
  <si>
    <t>Adventure and Sport Tourism</t>
  </si>
  <si>
    <r>
      <t>Instructor:</t>
    </r>
    <r>
      <rPr>
        <sz val="12"/>
        <color rgb="FF666666"/>
        <rFont val="Arial"/>
        <family val="2"/>
      </rPr>
      <t> James Disrude</t>
    </r>
  </si>
  <si>
    <r>
      <t>Instructor:</t>
    </r>
    <r>
      <rPr>
        <sz val="12"/>
        <color rgb="FF666666"/>
        <rFont val="Arial"/>
        <family val="2"/>
      </rPr>
      <t> Kate Ksobiech</t>
    </r>
  </si>
  <si>
    <t>COACHING 779, Section 1</t>
  </si>
  <si>
    <t>RECREATN 382, section 1</t>
  </si>
  <si>
    <r>
      <t>Location:</t>
    </r>
    <r>
      <rPr>
        <sz val="12"/>
        <color rgb="FF666666"/>
        <rFont val="Arial"/>
        <family val="2"/>
      </rPr>
      <t> Heide 113</t>
    </r>
  </si>
  <si>
    <r>
      <t>Location:</t>
    </r>
    <r>
      <rPr>
        <sz val="12"/>
        <color rgb="FF666666"/>
        <rFont val="Arial"/>
        <family val="2"/>
      </rPr>
      <t> Heide 311</t>
    </r>
  </si>
  <si>
    <r>
      <t>Prereq:</t>
    </r>
    <r>
      <rPr>
        <sz val="12"/>
        <color rgb="FF666666"/>
        <rFont val="Arial"/>
        <family val="2"/>
      </rPr>
      <t> Senior standing, completion of community service requirement, completion of MANGEMNT 301, ITSCM 306, FNBSLW 341, FNBSLW 344, ITBE 353, MARKETNG 311.</t>
    </r>
  </si>
  <si>
    <t>HEALTHED 779, Section 1</t>
  </si>
  <si>
    <r>
      <t>Schedule:</t>
    </r>
    <r>
      <rPr>
        <sz val="12"/>
        <color rgb="FF666666"/>
        <rFont val="Arial"/>
        <family val="2"/>
      </rPr>
      <t> 8:30-11:50 a.m., MTWRF</t>
    </r>
  </si>
  <si>
    <r>
      <t>Instructor:</t>
    </r>
    <r>
      <rPr>
        <sz val="12"/>
        <color rgb="FF666666"/>
        <rFont val="Arial"/>
        <family val="2"/>
      </rPr>
      <t> James Bronson and Praveen Parboteeah</t>
    </r>
  </si>
  <si>
    <t>PEPROF 779, Section 1</t>
  </si>
  <si>
    <r>
      <t>Prereq:</t>
    </r>
    <r>
      <rPr>
        <sz val="12"/>
        <color rgb="FF666666"/>
        <rFont val="Arial"/>
        <family val="2"/>
      </rPr>
      <t> Junior/Senior Status</t>
    </r>
  </si>
  <si>
    <t>Cross Cultural Communication</t>
  </si>
  <si>
    <t>RECREATN 779, Section 1</t>
  </si>
  <si>
    <r>
      <t>Instructor:</t>
    </r>
    <r>
      <rPr>
        <sz val="12"/>
        <color rgb="FF666666"/>
        <rFont val="Arial"/>
        <family val="2"/>
      </rPr>
      <t> Andrea Ednie</t>
    </r>
  </si>
  <si>
    <t>COMM 424/624, Section 1</t>
  </si>
  <si>
    <t>OCCUPATIONAL &amp; ENVIRONMENTAL SAFETY &amp; HEALTH</t>
  </si>
  <si>
    <r>
      <t>Instructor:</t>
    </r>
    <r>
      <rPr>
        <sz val="12"/>
        <color rgb="FF666666"/>
        <rFont val="Arial"/>
        <family val="2"/>
      </rPr>
      <t> Kristina Navarro</t>
    </r>
  </si>
  <si>
    <t>General Education (GD, GS)</t>
  </si>
  <si>
    <t>Personal and Public Safety</t>
  </si>
  <si>
    <t>Alcohol and Other Drugs</t>
  </si>
  <si>
    <t>Diversity Course</t>
  </si>
  <si>
    <t>Safety 201, Section 1</t>
  </si>
  <si>
    <t>Safety 255, Section 1</t>
  </si>
  <si>
    <r>
      <t>Prereq:</t>
    </r>
    <r>
      <rPr>
        <sz val="12"/>
        <color rgb="FF666666"/>
        <rFont val="Arial"/>
        <family val="2"/>
      </rPr>
      <t> COMM 110</t>
    </r>
  </si>
  <si>
    <t>SPECIAL EDUCATION</t>
  </si>
  <si>
    <r>
      <t>Instructor:</t>
    </r>
    <r>
      <rPr>
        <sz val="12"/>
        <color rgb="FF666666"/>
        <rFont val="Arial"/>
        <family val="2"/>
      </rPr>
      <t> Sue Wildermuth</t>
    </r>
  </si>
  <si>
    <t>General Education (GI)</t>
  </si>
  <si>
    <t>Introduction to Special Education</t>
  </si>
  <si>
    <r>
      <t>Instructor:</t>
    </r>
    <r>
      <rPr>
        <sz val="12"/>
        <color rgb="FF666666"/>
        <rFont val="Arial"/>
        <family val="2"/>
      </rPr>
      <t> Vay Rodman</t>
    </r>
  </si>
  <si>
    <r>
      <t>Instructor:</t>
    </r>
    <r>
      <rPr>
        <sz val="12"/>
        <color rgb="FF666666"/>
        <rFont val="Arial"/>
        <family val="2"/>
      </rPr>
      <t> David Vosburgh</t>
    </r>
  </si>
  <si>
    <t>SPECED 205, Section 1</t>
  </si>
  <si>
    <t>MUSIC</t>
  </si>
  <si>
    <r>
      <t>Instructor:</t>
    </r>
    <r>
      <rPr>
        <sz val="12"/>
        <color rgb="FF666666"/>
        <rFont val="Arial"/>
        <family val="2"/>
      </rPr>
      <t> Nomsa Gwalla - Ogisi</t>
    </r>
  </si>
  <si>
    <t>Survey of American Jazz</t>
  </si>
  <si>
    <t>COLLEGE OF EDUCATION &amp; PROFESSIONAL STUDIES</t>
  </si>
  <si>
    <t>MUSC 143, Section 1</t>
  </si>
  <si>
    <r>
      <t>Note:</t>
    </r>
    <r>
      <rPr>
        <sz val="12"/>
        <color rgb="FF666666"/>
        <rFont val="Arial"/>
        <family val="2"/>
      </rPr>
      <t> $150 distance education fee added to tuition.</t>
    </r>
  </si>
  <si>
    <t>COLLEGE OF LETTERS &amp; SCIENCES</t>
  </si>
  <si>
    <t>General Education (GA, GD)</t>
  </si>
  <si>
    <t>COMPUTER SCIENCE</t>
  </si>
  <si>
    <t>Computer Applications</t>
  </si>
  <si>
    <r>
      <t>Instructor:</t>
    </r>
    <r>
      <rPr>
        <sz val="12"/>
        <color rgb="FF666666"/>
        <rFont val="Arial"/>
        <family val="2"/>
      </rPr>
      <t> Michael Dugan</t>
    </r>
  </si>
  <si>
    <t>COMPSCI 162, Section 1</t>
  </si>
  <si>
    <t>General Education (GM)</t>
  </si>
  <si>
    <t>COLLEGE OF BUSINESS &amp; ECONOMICS</t>
  </si>
  <si>
    <r>
      <t>Prereq:</t>
    </r>
    <r>
      <rPr>
        <sz val="12"/>
        <color rgb="FF666666"/>
        <rFont val="Arial"/>
        <family val="2"/>
      </rPr>
      <t> MATH 141 or MATH 140 or waiver</t>
    </r>
  </si>
  <si>
    <r>
      <t>Instructor:</t>
    </r>
    <r>
      <rPr>
        <sz val="12"/>
        <color rgb="FF666666"/>
        <rFont val="Arial"/>
        <family val="2"/>
      </rPr>
      <t> Hien Nguyen</t>
    </r>
  </si>
  <si>
    <t>GEOGRAPHY &amp; GEOLOGY</t>
  </si>
  <si>
    <t>Dinosaurs</t>
  </si>
  <si>
    <t>GEOLGY 307, Section 1</t>
  </si>
  <si>
    <r>
      <t>Instructor:</t>
    </r>
    <r>
      <rPr>
        <sz val="12"/>
        <color rgb="FF666666"/>
        <rFont val="Arial"/>
        <family val="2"/>
      </rPr>
      <t> Rex Hanger</t>
    </r>
  </si>
  <si>
    <t>HISTORY</t>
  </si>
  <si>
    <t>Ancient History</t>
  </si>
  <si>
    <t>HISTRY 353, Section 1</t>
  </si>
  <si>
    <r>
      <t>Prereq:</t>
    </r>
    <r>
      <rPr>
        <sz val="12"/>
        <color rgb="FF666666"/>
        <rFont val="Arial"/>
        <family val="2"/>
      </rPr>
      <t> Sophomore Status or Consent of Instructor</t>
    </r>
  </si>
  <si>
    <r>
      <t>Instructor:</t>
    </r>
    <r>
      <rPr>
        <sz val="12"/>
        <color rgb="FF666666"/>
        <rFont val="Arial"/>
        <family val="2"/>
      </rPr>
      <t> Jennifer Thibodeaux</t>
    </r>
  </si>
  <si>
    <t>LANGUAGES AND LITERATURES</t>
  </si>
  <si>
    <t>Technical and Scientific Writing</t>
  </si>
  <si>
    <t>ENGLISH 372, section 1</t>
  </si>
  <si>
    <r>
      <t>Prereq:</t>
    </r>
    <r>
      <rPr>
        <sz val="12"/>
        <color rgb="FF666666"/>
        <rFont val="Arial"/>
        <family val="2"/>
      </rPr>
      <t> ENGLISH 101 and 102 or ENGLISH 105 or ENGLISH 161 and 162</t>
    </r>
  </si>
  <si>
    <r>
      <t>Instructor:</t>
    </r>
    <r>
      <rPr>
        <sz val="12"/>
        <color rgb="FF666666"/>
        <rFont val="Arial"/>
        <family val="2"/>
      </rPr>
      <t> John Carlberg</t>
    </r>
  </si>
  <si>
    <t>POLITICAL SCIENCE</t>
  </si>
  <si>
    <t>Ethnic Politics</t>
  </si>
  <si>
    <t>POLISCI 217, Section 1</t>
  </si>
  <si>
    <t>RACEETH 217, Section 1</t>
  </si>
  <si>
    <r>
      <t>Instructor:</t>
    </r>
    <r>
      <rPr>
        <sz val="12"/>
        <color rgb="FF666666"/>
        <rFont val="Arial"/>
        <family val="2"/>
      </rPr>
      <t> Larry Anderson</t>
    </r>
  </si>
  <si>
    <t>PSYCHOLOGY</t>
  </si>
  <si>
    <t>Introductory Psychology</t>
  </si>
  <si>
    <t>PSYCH 211, Section 1</t>
  </si>
  <si>
    <r>
      <t>Instructor:</t>
    </r>
    <r>
      <rPr>
        <sz val="12"/>
        <color rgb="FF666666"/>
        <rFont val="Arial"/>
        <family val="2"/>
      </rPr>
      <t> Kim Knesting-Lund</t>
    </r>
  </si>
  <si>
    <t>SOCIOLOGY, CRIMINOLOGY &amp; ANTHROPOLOGY</t>
  </si>
  <si>
    <t>Social Psychology</t>
  </si>
  <si>
    <t>SOCIOLGY 355, Section 1</t>
  </si>
  <si>
    <r>
      <t>Prereq:</t>
    </r>
    <r>
      <rPr>
        <sz val="12"/>
        <color rgb="FF666666"/>
        <rFont val="Arial"/>
        <family val="2"/>
      </rPr>
      <t> 3 credits of Sociology</t>
    </r>
  </si>
  <si>
    <r>
      <t>Instructor:</t>
    </r>
    <r>
      <rPr>
        <sz val="12"/>
        <color rgb="FF666666"/>
        <rFont val="Arial"/>
        <family val="2"/>
      </rPr>
      <t> Leda Nath</t>
    </r>
  </si>
  <si>
    <t>WOMEN'S STUDIES</t>
  </si>
  <si>
    <t>Women, Race and Ethnicity</t>
  </si>
  <si>
    <t>WOMENST 370, Section 1</t>
  </si>
  <si>
    <t>General Education (GD, GE)</t>
  </si>
  <si>
    <r>
      <t>Prereq:</t>
    </r>
    <r>
      <rPr>
        <sz val="12"/>
        <color rgb="FF666666"/>
        <rFont val="Arial"/>
        <family val="2"/>
      </rPr>
      <t> Junior standing or WOMENST 100</t>
    </r>
  </si>
  <si>
    <r>
      <t>Instructor:</t>
    </r>
    <r>
      <rPr>
        <sz val="12"/>
        <color rgb="FF666666"/>
        <rFont val="Arial"/>
        <family val="2"/>
      </rPr>
      <t> Lauren Smith</t>
    </r>
  </si>
  <si>
    <t>Mangemnt 301 section 22</t>
  </si>
  <si>
    <t>Online</t>
  </si>
  <si>
    <t>Mangemnt 301 section 23</t>
  </si>
  <si>
    <t>Mangemnt 489 section 22</t>
  </si>
  <si>
    <t>Need Mangemnt 301, Itscm 306, FNBSLW 341, FNBSLW 344 ITBE 353 Marketing 311</t>
  </si>
  <si>
    <t>GENED 110, Section 1, Class 1002</t>
  </si>
  <si>
    <t>GENED 120, Section 1, Class 1003</t>
  </si>
  <si>
    <t>GENED 130, Section 1, Class 1004</t>
  </si>
  <si>
    <r>
      <t>Instructor:</t>
    </r>
    <r>
      <rPr>
        <sz val="12"/>
        <color rgb="FF666666"/>
        <rFont val="Arial"/>
        <family val="2"/>
      </rPr>
      <t> Holly Denning</t>
    </r>
  </si>
  <si>
    <t>GENED 140, Section 1, Class 1005</t>
  </si>
  <si>
    <r>
      <t>Instructor:</t>
    </r>
    <r>
      <rPr>
        <sz val="12"/>
        <color rgb="FF666666"/>
        <rFont val="Arial"/>
        <family val="2"/>
      </rPr>
      <t> Zohreh Ghavamshahidi</t>
    </r>
  </si>
  <si>
    <t>GENED 390, Section 1, Class 1008</t>
  </si>
  <si>
    <t>GENED 390, Section 2, Class 1009</t>
  </si>
  <si>
    <r>
      <t>Instructor:</t>
    </r>
    <r>
      <rPr>
        <sz val="12"/>
        <color rgb="FF666666"/>
        <rFont val="Arial"/>
        <family val="2"/>
      </rPr>
      <t> Michael Bennett</t>
    </r>
  </si>
  <si>
    <t>Art &amp; Design</t>
  </si>
  <si>
    <t>MAGD 220, Section 1, Class 1010</t>
  </si>
  <si>
    <r>
      <t>Instructor:</t>
    </r>
    <r>
      <rPr>
        <sz val="12"/>
        <color rgb="FF666666"/>
        <rFont val="Arial"/>
        <family val="2"/>
      </rPr>
      <t> Renee Melton</t>
    </r>
  </si>
  <si>
    <t>COMM 110, Section 1, Class 1011</t>
  </si>
  <si>
    <t>COMM 110, Section 2, Class 1012</t>
  </si>
  <si>
    <t>COMM 110, Section 3, Class 1013</t>
  </si>
  <si>
    <r>
      <t>Instructor:</t>
    </r>
    <r>
      <rPr>
        <sz val="12"/>
        <color rgb="FF666666"/>
        <rFont val="Arial"/>
        <family val="2"/>
      </rPr>
      <t> Jim Disrude</t>
    </r>
  </si>
  <si>
    <r>
      <t>Location:</t>
    </r>
    <r>
      <rPr>
        <sz val="12"/>
        <color rgb="FF666666"/>
        <rFont val="Arial"/>
        <family val="2"/>
      </rPr>
      <t> Heide 309</t>
    </r>
  </si>
  <si>
    <t>Undergraduate Class 1014, Graduate Class 1015</t>
  </si>
  <si>
    <t>General Education (GD, GS), Diversity Course</t>
  </si>
  <si>
    <t>MUSC 143, Section 1, Class 1016</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</si>
  <si>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t>
  </si>
  <si>
    <t>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t>
  </si>
  <si>
    <t>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</si>
  <si>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ACCOUNT 249, Section 22, Class 1017</t>
  </si>
  <si>
    <r>
      <t>Instructor:</t>
    </r>
    <r>
      <rPr>
        <sz val="12"/>
        <color rgb="FF666666"/>
        <rFont val="Arial"/>
        <family val="2"/>
      </rPr>
      <t> Linda Amann</t>
    </r>
  </si>
  <si>
    <t>ACCOUNT 748, Section 1, Class 1018</t>
  </si>
  <si>
    <r>
      <t>Schedule:</t>
    </r>
    <r>
      <rPr>
        <sz val="12"/>
        <color rgb="FF666666"/>
        <rFont val="Arial"/>
        <family val="2"/>
      </rPr>
      <t> 1:30-4:50 p.m., MTWRF</t>
    </r>
  </si>
  <si>
    <t>Introduction to Information Systems</t>
  </si>
  <si>
    <t>ITSCM 280, Section 1, Class 1019</t>
  </si>
  <si>
    <t>MANGEMNT 301, Section 1, Class 1020</t>
  </si>
  <si>
    <t>MANGEMNT 301, Section 22, 1021</t>
  </si>
  <si>
    <t>MANGEMNT 301, Section 23, Class 1022</t>
  </si>
  <si>
    <r>
      <t>Instructor:</t>
    </r>
    <r>
      <rPr>
        <sz val="12"/>
        <color rgb="FF666666"/>
        <rFont val="Arial"/>
        <family val="2"/>
      </rPr>
      <t> Jim Schnaedter</t>
    </r>
  </si>
  <si>
    <t>MANGEMNT 301, Section 24, Class 1023</t>
  </si>
  <si>
    <t>MANGEMNT 489, Section 1, Class 1067</t>
  </si>
  <si>
    <r>
      <t>Prereq: </t>
    </r>
    <r>
      <rPr>
        <sz val="12"/>
        <color rgb="FF666666"/>
        <rFont val="Arial"/>
        <family val="2"/>
      </rPr>
      <t>Senior standing, completion of community service requirement, completion of MANGEMNT 301, ITSCM 306, FNBSLW 344, ITBE 353, MARKETNG 311.</t>
    </r>
  </si>
  <si>
    <r>
      <t>Instructor:</t>
    </r>
    <r>
      <rPr>
        <sz val="12"/>
        <color rgb="FF666666"/>
        <rFont val="Arial"/>
        <family val="2"/>
      </rPr>
      <t> Jeff Vanevenhoven</t>
    </r>
  </si>
  <si>
    <r>
      <t>Location:</t>
    </r>
    <r>
      <rPr>
        <sz val="12"/>
        <color rgb="FF666666"/>
        <rFont val="Arial"/>
        <family val="2"/>
      </rPr>
      <t> Hyland 2300</t>
    </r>
  </si>
  <si>
    <r>
      <t>Schedule:</t>
    </r>
    <r>
      <rPr>
        <sz val="12"/>
        <color rgb="FF666666"/>
        <rFont val="Arial"/>
        <family val="2"/>
      </rPr>
      <t> 9:00 a.m.-12:00 p.m. on December 29 &amp; 30; January 4, 5, 6, 14 &amp; 15.</t>
    </r>
  </si>
  <si>
    <r>
      <t>Instructor:</t>
    </r>
    <r>
      <rPr>
        <sz val="12"/>
        <color rgb="FF666666"/>
        <rFont val="Arial"/>
        <family val="2"/>
      </rPr>
      <t> James Bronson &amp; Praveen Parboteeah</t>
    </r>
  </si>
  <si>
    <t>MARKETING</t>
  </si>
  <si>
    <t>Principles of Marketing</t>
  </si>
  <si>
    <t>MARKETING 311, Section 22, Class 1026</t>
  </si>
  <si>
    <r>
      <t>Instructor:</t>
    </r>
    <r>
      <rPr>
        <sz val="12"/>
        <color rgb="FF666666"/>
        <rFont val="Arial"/>
        <family val="2"/>
      </rPr>
      <t> Andrew Dahl</t>
    </r>
  </si>
  <si>
    <t>SAFETY 201, Section 11, Class 1027</t>
  </si>
  <si>
    <t>SAFETY 255, Section 11, Class 1028</t>
  </si>
  <si>
    <t>READING 360, Section 1, Class 1029</t>
  </si>
  <si>
    <r>
      <t>Prereq: </t>
    </r>
    <r>
      <rPr>
        <sz val="12"/>
        <color rgb="FF666666"/>
        <rFont val="Arial"/>
        <family val="2"/>
      </rPr>
      <t>Professional Education admission</t>
    </r>
  </si>
  <si>
    <t>COACHING 240, Section 1, Class 1030</t>
  </si>
  <si>
    <t>History and Social Aspects of Athletics</t>
  </si>
  <si>
    <t>COACHING 260, Section 1, Class 1031</t>
  </si>
  <si>
    <t>COACHING 492, Section 1, Class 1032</t>
  </si>
  <si>
    <t>COACHING 779, section 1, class 1033</t>
  </si>
  <si>
    <t>HEALTHED 779, section 1, class 1034</t>
  </si>
  <si>
    <t>PEPROF 779, section 1, class 1035</t>
  </si>
  <si>
    <t>RECREATN 779, section 1, class 1036</t>
  </si>
  <si>
    <t>Elementary Health Education</t>
  </si>
  <si>
    <t>HEALTHED 382, Section 1, Class 1039</t>
  </si>
  <si>
    <r>
      <t>Location:</t>
    </r>
    <r>
      <rPr>
        <sz val="12"/>
        <color rgb="FF666666"/>
        <rFont val="Arial"/>
        <family val="2"/>
      </rPr>
      <t> Williams Center 183A</t>
    </r>
  </si>
  <si>
    <r>
      <t>Schedule:</t>
    </r>
    <r>
      <rPr>
        <sz val="12"/>
        <color rgb="FF666666"/>
        <rFont val="Arial"/>
        <family val="2"/>
      </rPr>
      <t> 8:30-11:50 a.m. on December 29; January 4, 11 &amp; 14</t>
    </r>
  </si>
  <si>
    <t>Research in Health</t>
  </si>
  <si>
    <t>Undergraduate Class 1037; Graduate Class 1038</t>
  </si>
  <si>
    <r>
      <t>Prereq: </t>
    </r>
    <r>
      <rPr>
        <sz val="12"/>
        <color rgb="FF666666"/>
        <rFont val="Arial"/>
        <family val="2"/>
      </rPr>
      <t>Junior/Senior status or consent of instructor</t>
    </r>
  </si>
  <si>
    <r>
      <t>Location:</t>
    </r>
    <r>
      <rPr>
        <sz val="12"/>
        <color rgb="FF666666"/>
        <rFont val="Arial"/>
        <family val="2"/>
      </rPr>
      <t> Williams Center 185</t>
    </r>
  </si>
  <si>
    <r>
      <t>Schedule:</t>
    </r>
    <r>
      <rPr>
        <sz val="12"/>
        <color rgb="FF666666"/>
        <rFont val="Arial"/>
        <family val="2"/>
      </rPr>
      <t> 8:30 a.m.-3:30 p.m. on December 29 &amp; 30; January 15</t>
    </r>
  </si>
  <si>
    <t>PEGNRL 192, Section 3, Class 1040</t>
  </si>
  <si>
    <t>PEGNRL 192, Section 2, Class 1041</t>
  </si>
  <si>
    <t>PEGNRL 192, Section 3, Class 1042</t>
  </si>
  <si>
    <t>Undergraduate Class 1043; Graduate Class 1044</t>
  </si>
  <si>
    <t>Introduction to Sport Management</t>
  </si>
  <si>
    <t>RECREATN 233, Section 1, Class 1045</t>
  </si>
  <si>
    <r>
      <t>Instructor:</t>
    </r>
    <r>
      <rPr>
        <sz val="12"/>
        <color rgb="FF666666"/>
        <rFont val="Arial"/>
        <family val="2"/>
      </rPr>
      <t> Joe Carollo</t>
    </r>
  </si>
  <si>
    <r>
      <t>Location:</t>
    </r>
    <r>
      <rPr>
        <sz val="12"/>
        <color rgb="FF666666"/>
        <rFont val="Arial"/>
        <family val="2"/>
      </rPr>
      <t> 9:00 a.m.-12:00 p.m. on December 29; January 4, 5, 6, 7, 11, 12 &amp; 14</t>
    </r>
  </si>
  <si>
    <r>
      <t>Schedule:</t>
    </r>
    <r>
      <rPr>
        <sz val="12"/>
        <color rgb="FF666666"/>
        <rFont val="Arial"/>
        <family val="2"/>
      </rPr>
      <t> Williams Center 184</t>
    </r>
  </si>
  <si>
    <t>SPECED 205, Section 1, Class 1063</t>
  </si>
  <si>
    <t>BIOLOGY</t>
  </si>
  <si>
    <t>Winter Ecology &amp; Natural History of Yellowstone National Park</t>
  </si>
  <si>
    <t>BIOLOGY 350, Section 1, Class 1061</t>
  </si>
  <si>
    <r>
      <t>Instructor:</t>
    </r>
    <r>
      <rPr>
        <sz val="12"/>
        <color rgb="FF666666"/>
        <rFont val="Arial"/>
        <family val="2"/>
      </rPr>
      <t> George Clokey</t>
    </r>
  </si>
  <si>
    <r>
      <t>Note:</t>
    </r>
    <r>
      <rPr>
        <sz val="12"/>
        <color rgb="FF666666"/>
        <rFont val="Arial"/>
        <family val="2"/>
      </rPr>
      <t> This is a 12-day faculty-led travel study course. Travel is scheduled to South Dakota, Montana, and Yellowstone National Park for Saturday, January 2 through Friday, January 15, 2016. Contact Kari Borne (</t>
    </r>
    <r>
      <rPr>
        <b/>
        <sz val="12"/>
        <color rgb="FF422D5C"/>
        <rFont val="Arial"/>
        <family val="2"/>
      </rPr>
      <t>bornek@uww.edu</t>
    </r>
    <r>
      <rPr>
        <sz val="12"/>
        <color rgb="FF666666"/>
        <rFont val="Arial"/>
        <family val="2"/>
      </rPr>
      <t> or 262-472-1003) for an application or Professor Clokey (</t>
    </r>
    <r>
      <rPr>
        <b/>
        <sz val="12"/>
        <color rgb="FF422D5C"/>
        <rFont val="Arial"/>
        <family val="2"/>
      </rPr>
      <t>clokeyg@uww.edu</t>
    </r>
    <r>
      <rPr>
        <sz val="12"/>
        <color rgb="FF666666"/>
        <rFont val="Arial"/>
        <family val="2"/>
      </rPr>
      <t> or 262-472-5140) for academic requirements. Travel study registration is not available via WINS registration. Travel study participants may not add or drop a travel study course via WINS once it has been added to their academic schedule. Go to </t>
    </r>
    <r>
      <rPr>
        <b/>
        <sz val="12"/>
        <color rgb="FF422D5C"/>
        <rFont val="Arial"/>
        <family val="2"/>
      </rPr>
      <t>http://www.uww.edu/ce/travel</t>
    </r>
    <r>
      <rPr>
        <sz val="12"/>
        <color rgb="FF666666"/>
        <rFont val="Arial"/>
        <family val="2"/>
      </rPr>
      <t> for more information of due dates, itinerary, and course fees.</t>
    </r>
  </si>
  <si>
    <t>CHEMISTRY</t>
  </si>
  <si>
    <t>Science and Technology in Society</t>
  </si>
  <si>
    <t>CHEM 150, Section 1, Class 1046</t>
  </si>
  <si>
    <r>
      <t>Prereq:</t>
    </r>
    <r>
      <rPr>
        <sz val="12"/>
        <color rgb="FF666666"/>
        <rFont val="Arial"/>
        <family val="2"/>
      </rPr>
      <t> MATH 141 or 140 Coreq</t>
    </r>
  </si>
  <si>
    <r>
      <t>Instructor:</t>
    </r>
    <r>
      <rPr>
        <sz val="12"/>
        <color rgb="FF666666"/>
        <rFont val="Arial"/>
        <family val="2"/>
      </rPr>
      <t> Jessica Bonjour</t>
    </r>
  </si>
  <si>
    <t>COMPSCI 162, Section 1, Class 1047</t>
  </si>
  <si>
    <r>
      <t>Instructor:</t>
    </r>
    <r>
      <rPr>
        <sz val="12"/>
        <color rgb="FF666666"/>
        <rFont val="Arial"/>
        <family val="2"/>
      </rPr>
      <t> Lopamudra Mukherjee</t>
    </r>
  </si>
  <si>
    <t>GEOLGY 307, Section 1, Class 1048</t>
  </si>
  <si>
    <t>Contemporary Chicano Literature</t>
  </si>
  <si>
    <t>CHICANO 201, Section 1, Class 1049</t>
  </si>
  <si>
    <t>ENGLISH 201, Section 1, Class 1050</t>
  </si>
  <si>
    <t>Diversity course</t>
  </si>
  <si>
    <r>
      <t>Instructor:</t>
    </r>
    <r>
      <rPr>
        <sz val="12"/>
        <color rgb="FF666666"/>
        <rFont val="Arial"/>
        <family val="2"/>
      </rPr>
      <t> Pilar Melero</t>
    </r>
  </si>
  <si>
    <t>Technical Writing</t>
  </si>
  <si>
    <t>ENGLISH 372/572, Section 1</t>
  </si>
  <si>
    <t>Undergraduate Class 1052; Graduate Class 1051</t>
  </si>
  <si>
    <r>
      <t>Prereq:</t>
    </r>
    <r>
      <rPr>
        <sz val="12"/>
        <color rgb="FF666666"/>
        <rFont val="Arial"/>
        <family val="2"/>
      </rPr>
      <t> ENGLISH 101 and ENGLISH 102 or ENGLISH 161 and ENGLISH 162 or ENGLISH 105</t>
    </r>
  </si>
  <si>
    <t>PHILOSOPHY AND RELIGIOUS STUDIES</t>
  </si>
  <si>
    <t>Religious Ethics</t>
  </si>
  <si>
    <t>RELIGST 302, Section 1, Class 1053</t>
  </si>
  <si>
    <r>
      <t>Prereq:</t>
    </r>
    <r>
      <rPr>
        <sz val="12"/>
        <color rgb="FF666666"/>
        <rFont val="Arial"/>
        <family val="2"/>
      </rPr>
      <t> Sophomore standing or consent of instructor</t>
    </r>
  </si>
  <si>
    <r>
      <t>Instructor:</t>
    </r>
    <r>
      <rPr>
        <sz val="12"/>
        <color rgb="FF666666"/>
        <rFont val="Arial"/>
        <family val="2"/>
      </rPr>
      <t> David Reinhart</t>
    </r>
  </si>
  <si>
    <t>POLISCI 217, Section 1, Class 1055</t>
  </si>
  <si>
    <t>RACEETH 217, Section 1, Class 1054</t>
  </si>
  <si>
    <t>PSYCH 211, Section 1, Class 1056</t>
  </si>
  <si>
    <r>
      <t>Instructor:</t>
    </r>
    <r>
      <rPr>
        <sz val="12"/>
        <color rgb="FF666666"/>
        <rFont val="Arial"/>
        <family val="2"/>
      </rPr>
      <t> Kimberly Knesting-Lund</t>
    </r>
  </si>
  <si>
    <t>Psychology of Childhood</t>
  </si>
  <si>
    <t>PSYCH 331, Section 1, Class 1057</t>
  </si>
  <si>
    <t>3 units</t>
  </si>
  <si>
    <r>
      <t>Prereq: </t>
    </r>
    <r>
      <rPr>
        <sz val="12"/>
        <color rgb="FF666666"/>
        <rFont val="Arial"/>
        <family val="2"/>
      </rPr>
      <t>PSYCH 211</t>
    </r>
  </si>
  <si>
    <r>
      <t>Instructor: </t>
    </r>
    <r>
      <rPr>
        <sz val="12"/>
        <color rgb="FF666666"/>
        <rFont val="Arial"/>
        <family val="2"/>
      </rPr>
      <t>Sandra Street</t>
    </r>
  </si>
  <si>
    <r>
      <t>Location: </t>
    </r>
    <r>
      <rPr>
        <sz val="12"/>
        <color rgb="FF666666"/>
        <rFont val="Arial"/>
        <family val="2"/>
      </rPr>
      <t>Online</t>
    </r>
  </si>
  <si>
    <r>
      <t>Note: </t>
    </r>
    <r>
      <rPr>
        <sz val="12"/>
        <color rgb="FF666666"/>
        <rFont val="Arial"/>
        <family val="2"/>
      </rPr>
      <t>$150 distance fee in addition to tuition</t>
    </r>
  </si>
  <si>
    <t>Special Studies: Crisis and Conflict</t>
  </si>
  <si>
    <t>CRIMJUS 496, Section 1, Class 1058</t>
  </si>
  <si>
    <r>
      <t>Instructor:</t>
    </r>
    <r>
      <rPr>
        <sz val="12"/>
        <color rgb="FF666666"/>
        <rFont val="Arial"/>
        <family val="2"/>
      </rPr>
      <t> Patrick O’Brien</t>
    </r>
  </si>
  <si>
    <t>SOCIOLGY 355, section 1, class 1059</t>
  </si>
  <si>
    <r>
      <t>Prereq:</t>
    </r>
    <r>
      <rPr>
        <sz val="12"/>
        <color rgb="FF666666"/>
        <rFont val="Arial"/>
        <family val="2"/>
      </rPr>
      <t> 3 units of Sociology</t>
    </r>
  </si>
  <si>
    <r>
      <t>Instructor: </t>
    </r>
    <r>
      <rPr>
        <sz val="12"/>
        <color rgb="FF666666"/>
        <rFont val="Arial"/>
        <family val="2"/>
      </rPr>
      <t>Leda Nath</t>
    </r>
  </si>
  <si>
    <t>WOMENST 370, Section 1, Class 1060</t>
  </si>
  <si>
    <t>2016 Schedule Of Classes</t>
  </si>
  <si>
    <r>
      <t>Instructor:</t>
    </r>
    <r>
      <rPr>
        <strike/>
        <sz val="12"/>
        <color rgb="FF666666"/>
        <rFont val="Arial"/>
        <family val="2"/>
      </rPr>
      <t> TBD</t>
    </r>
  </si>
  <si>
    <r>
      <t>Location:</t>
    </r>
    <r>
      <rPr>
        <strike/>
        <sz val="12"/>
        <color rgb="FF666666"/>
        <rFont val="Arial"/>
        <family val="2"/>
      </rPr>
      <t> TBD</t>
    </r>
  </si>
  <si>
    <r>
      <t>Schedule:</t>
    </r>
    <r>
      <rPr>
        <strike/>
        <sz val="12"/>
        <color rgb="FF666666"/>
        <rFont val="Arial"/>
        <family val="2"/>
      </rPr>
      <t> TBD</t>
    </r>
  </si>
  <si>
    <r>
      <t>Instructor:</t>
    </r>
    <r>
      <rPr>
        <strike/>
        <sz val="12"/>
        <color rgb="FF666666"/>
        <rFont val="Arial"/>
        <family val="2"/>
      </rPr>
      <t>Yezdi Godiwalla</t>
    </r>
  </si>
  <si>
    <r>
      <t>Location:</t>
    </r>
    <r>
      <rPr>
        <strike/>
        <sz val="12"/>
        <color rgb="FF666666"/>
        <rFont val="Arial"/>
        <family val="2"/>
      </rPr>
      <t> Hyland 2200</t>
    </r>
  </si>
  <si>
    <r>
      <t>Schedule:</t>
    </r>
    <r>
      <rPr>
        <strike/>
        <sz val="12"/>
        <color rgb="FF666666"/>
        <rFont val="Arial"/>
        <family val="2"/>
      </rPr>
      <t> 8:30-11:50am on December 29 &amp; 30; January 4, 5, 6 &amp; 7.</t>
    </r>
  </si>
  <si>
    <t>Winterim 2017? So make sure I get all the prereqs</t>
  </si>
  <si>
    <t>Mangemnt 301 section 24</t>
  </si>
  <si>
    <t>Megan Matthews</t>
  </si>
  <si>
    <t>2018-2019</t>
  </si>
  <si>
    <t>Fall 2018</t>
  </si>
  <si>
    <t>Winterim 2019</t>
  </si>
  <si>
    <t>Spring 2019</t>
  </si>
  <si>
    <t>Summer 2019</t>
  </si>
  <si>
    <t>Summer 2020</t>
  </si>
  <si>
    <t>Spring 2020</t>
  </si>
  <si>
    <t>Summer 2021</t>
  </si>
  <si>
    <t>Spring 2021</t>
  </si>
  <si>
    <t>Winterim 2021</t>
  </si>
  <si>
    <t>Winterim 2020</t>
  </si>
  <si>
    <t>Fall 2019</t>
  </si>
  <si>
    <t>Fall 2020</t>
  </si>
  <si>
    <t>2019-2020</t>
  </si>
  <si>
    <t>2020-2021</t>
  </si>
  <si>
    <t>Fall</t>
  </si>
  <si>
    <t xml:space="preserve">12 credits from </t>
  </si>
  <si>
    <t>11 Credits from</t>
  </si>
  <si>
    <t>Networking and Systems</t>
  </si>
  <si>
    <t>COMPSCI 460 Computer Networking</t>
  </si>
  <si>
    <t>Spring even years</t>
  </si>
  <si>
    <t>COMPSCI 461 Mobile Computing Architecture</t>
  </si>
  <si>
    <t>Spring odd years</t>
  </si>
  <si>
    <t>COMPSCI 462 Network Security</t>
  </si>
  <si>
    <t>Fall even years</t>
  </si>
  <si>
    <t>Computer Science Fundamentals</t>
  </si>
  <si>
    <t>COMPSCI 271 and COMPSCI 223</t>
  </si>
  <si>
    <t>COMPSCI 332 Introduction to Artificial Intelligence</t>
  </si>
  <si>
    <t>Every fall</t>
  </si>
  <si>
    <t>COMPSCI 220 or COMPSCI 222</t>
  </si>
  <si>
    <t>MATH 450 Graph Theory</t>
  </si>
  <si>
    <t>Fall odd years</t>
  </si>
  <si>
    <t>Web Techniques</t>
  </si>
  <si>
    <t>Every semester</t>
  </si>
  <si>
    <t>COMPSCI 172 or COMPSCI 174</t>
  </si>
  <si>
    <t>Every Spring</t>
  </si>
  <si>
    <t>COMPSCI 482 Web Database Development</t>
  </si>
  <si>
    <t>Applied Computing</t>
  </si>
  <si>
    <t>COMPSCI 347 Scientific Computing</t>
  </si>
  <si>
    <t>MATH 471 Numerical Analysis</t>
  </si>
  <si>
    <t>COMPSCI 171 and MATH 355</t>
  </si>
  <si>
    <r>
      <rPr>
        <sz val="11"/>
        <color rgb="FFFF0000"/>
        <rFont val="Calibri"/>
        <family val="2"/>
      </rPr>
      <t>Math 280</t>
    </r>
    <r>
      <rPr>
        <sz val="11"/>
        <color theme="1"/>
        <rFont val="Calibri"/>
        <family val="2"/>
        <scheme val="minor"/>
      </rPr>
      <t>, Any MCS or CS course above 300</t>
    </r>
  </si>
  <si>
    <t>Core Courses</t>
  </si>
  <si>
    <t>Courses</t>
  </si>
  <si>
    <t>No. of Units</t>
  </si>
  <si>
    <t>Semester Offered</t>
  </si>
  <si>
    <t>Prerequisities</t>
  </si>
  <si>
    <t>COMPSCI 172 or COMPSCI 174, Introduction to Java or C++</t>
  </si>
  <si>
    <t>MATH 152 or calculus placement, COMPSCI 171 or placement</t>
  </si>
  <si>
    <t>COMPSCI 220 or COMPSCI 222, Intermediate Java or C++</t>
  </si>
  <si>
    <t>COMPSCI 223 Data Structures</t>
  </si>
  <si>
    <t>COMPSCI 271 Assembly Programming</t>
  </si>
  <si>
    <t>COMPSCI 412 Computer Organization and Systems Programming</t>
  </si>
  <si>
    <t>Every fall semester</t>
  </si>
  <si>
    <t>COMPSCI 271</t>
  </si>
  <si>
    <t>COMPSCI 433 Theory of Algorithms</t>
  </si>
  <si>
    <t>(MATH 280 or COMPSCI 215) and COMPSCI 223.</t>
  </si>
  <si>
    <t>COMPSCI 476 Software Engineering</t>
  </si>
  <si>
    <t>Every  semester</t>
  </si>
  <si>
    <t>COMPSCI 223</t>
  </si>
  <si>
    <t>Elective</t>
  </si>
  <si>
    <t>COMPSCI 366 Database Management Systems</t>
  </si>
  <si>
    <t>Every Fall</t>
  </si>
  <si>
    <t>COMPSCI 424 Operating Systems</t>
  </si>
  <si>
    <t>COMPSCI 223 and COMPSCI 271 or consent of instructor</t>
  </si>
  <si>
    <t>Every Fall.</t>
  </si>
  <si>
    <t>COMPSCI 320 Concepts of Programming Languages</t>
  </si>
  <si>
    <t>COMPSCI 223 and (COMPSCI 215 or MATH 280)</t>
  </si>
  <si>
    <t>COMPSCI 322 Computer Languages &amp; Compilers</t>
  </si>
  <si>
    <t>COMPSCI 434 Theory of Computation</t>
  </si>
  <si>
    <t>COMPSCI 215 or MATH 280</t>
  </si>
  <si>
    <t> (MATH 280 or COMPSCI 215) and (MATH 253 with a “C” or better or MATH 250 with a “B” or better)</t>
  </si>
  <si>
    <t>COMPSCI 381 JavaScript and DHTML</t>
  </si>
  <si>
    <t>COMPSCI 172 or COMPSCI 174, or equivalent preparation and consent of instructor</t>
  </si>
  <si>
    <t>COMPSCI 382 Server Side Scripting</t>
  </si>
  <si>
    <t>COMPSCI 172 or COMPSCI 174 or equivalent preparation and consent of instructor</t>
  </si>
  <si>
    <t>COMPSCI 481 Web Servers and UNIX Administration</t>
  </si>
  <si>
    <t>COMPSCI 172 or COMPSCI 174 or consent of instructor</t>
  </si>
  <si>
    <t>COMPSCI 381 and COMPSCI 382 or equivalent preparation and consent of instructor</t>
  </si>
  <si>
    <t>MATH 253 with a “C” or better or consent of instructor</t>
  </si>
  <si>
    <t>COMPSCI 451 Topics in Modern Applied Computing</t>
  </si>
  <si>
    <t>COMPSCI 271 and either MCS 231 or COMPSCI 223</t>
  </si>
  <si>
    <t>Other Requirements</t>
  </si>
  <si>
    <t>Prerequisites</t>
  </si>
  <si>
    <t>Either MATH 250 Graph Theory</t>
  </si>
  <si>
    <t>MATH 143 with a C or better or equivalent preparation as determined by the Math Department</t>
  </si>
  <si>
    <t>Math 152 or Calculus placement</t>
  </si>
  <si>
    <t>Either COMPSCI 215 Discrete Structures</t>
  </si>
  <si>
    <t>MATH 152, or MATH 243 or MATH 250</t>
  </si>
  <si>
    <t>MATH 250 or MATH 253</t>
  </si>
  <si>
    <t>English 370 or English 372 Technical Writing</t>
  </si>
  <si>
    <t>Approved Minor (22 – 24 units)</t>
  </si>
  <si>
    <t>University requirements for BA or BS</t>
  </si>
  <si>
    <t>or MATH 253 Calculus and Analytic Geometry 1</t>
  </si>
  <si>
    <t>or MATH 280 Discrete Mathematics</t>
  </si>
  <si>
    <t>FALL ONLY CompSci 320 Concepts of Programming Languages</t>
  </si>
  <si>
    <t>FALL ONLY! COMPUTER ORGANIZATION AND SYSTEM PROGRAMMING</t>
  </si>
  <si>
    <r>
      <t xml:space="preserve">Business Analysis: </t>
    </r>
    <r>
      <rPr>
        <b/>
        <sz val="11"/>
        <color theme="1"/>
        <rFont val="Calibri"/>
        <family val="2"/>
        <scheme val="minor"/>
      </rPr>
      <t>310,</t>
    </r>
    <r>
      <rPr>
        <sz val="11"/>
        <color theme="1"/>
        <rFont val="Calibri"/>
        <family val="2"/>
        <scheme val="minor"/>
      </rPr>
      <t xml:space="preserve"> 314, 320, 380, </t>
    </r>
    <r>
      <rPr>
        <b/>
        <sz val="11"/>
        <color theme="1"/>
        <rFont val="Calibri"/>
        <family val="2"/>
        <scheme val="minor"/>
      </rPr>
      <t>410</t>
    </r>
  </si>
  <si>
    <r>
      <t xml:space="preserve"> ITSCM </t>
    </r>
    <r>
      <rPr>
        <b/>
        <sz val="11"/>
        <color rgb="FFFF0000"/>
        <rFont val="Calibri"/>
        <family val="2"/>
      </rPr>
      <t>ENTERPRISE SYSTEMS &amp; BUSINESS PROCESS INTEGRATION 310-BA</t>
    </r>
    <r>
      <rPr>
        <sz val="11"/>
        <color theme="1"/>
        <rFont val="Calibri"/>
        <family val="2"/>
      </rPr>
      <t xml:space="preserve">, </t>
    </r>
    <r>
      <rPr>
        <b/>
        <sz val="11"/>
        <color rgb="FFFF0000"/>
        <rFont val="Calibri"/>
        <family val="2"/>
      </rPr>
      <t xml:space="preserve">Advanced Database Design  </t>
    </r>
    <r>
      <rPr>
        <sz val="11"/>
        <color rgb="FFFF0000"/>
        <rFont val="Calibri"/>
        <family val="2"/>
      </rPr>
      <t>314-BA,</t>
    </r>
    <r>
      <rPr>
        <sz val="11"/>
        <color theme="1"/>
        <rFont val="Calibri"/>
        <family val="2"/>
        <scheme val="minor"/>
      </rPr>
      <t xml:space="preserve"> </t>
    </r>
    <r>
      <rPr>
        <b/>
        <sz val="11"/>
        <color rgb="FFFF0000"/>
        <rFont val="Calibri"/>
        <family val="2"/>
      </rPr>
      <t>320 Business Analysis-BA</t>
    </r>
    <r>
      <rPr>
        <sz val="11"/>
        <color theme="1"/>
        <rFont val="Calibri"/>
        <family val="2"/>
        <scheme val="minor"/>
      </rPr>
      <t xml:space="preserve">, </t>
    </r>
    <r>
      <rPr>
        <b/>
        <sz val="11"/>
        <rFont val="Calibri"/>
        <family val="2"/>
      </rPr>
      <t>321 Systems Analysis and Design,</t>
    </r>
    <r>
      <rPr>
        <sz val="11"/>
        <color theme="1"/>
        <rFont val="Calibri"/>
        <family val="2"/>
        <scheme val="minor"/>
      </rPr>
      <t xml:space="preserve"> </t>
    </r>
    <r>
      <rPr>
        <sz val="11"/>
        <rFont val="Calibri"/>
        <family val="2"/>
      </rPr>
      <t>Web Development 325</t>
    </r>
    <r>
      <rPr>
        <sz val="11"/>
        <color theme="1"/>
        <rFont val="Calibri"/>
        <family val="2"/>
        <scheme val="minor"/>
      </rPr>
      <t>, System Administration 331, Network Management 332,</t>
    </r>
    <r>
      <rPr>
        <b/>
        <sz val="11"/>
        <color rgb="FFFF0000"/>
        <rFont val="Calibri"/>
        <family val="2"/>
      </rPr>
      <t>Business Intelligence 380-BA</t>
    </r>
    <r>
      <rPr>
        <sz val="11"/>
        <color theme="1"/>
        <rFont val="Calibri"/>
        <family val="2"/>
        <scheme val="minor"/>
      </rPr>
      <t xml:space="preserve">, </t>
    </r>
    <r>
      <rPr>
        <b/>
        <sz val="11"/>
        <color rgb="FFFF0000"/>
        <rFont val="Calibri"/>
        <family val="2"/>
        <scheme val="minor"/>
      </rPr>
      <t>Business Proces Management &amp; simulation 410-BA,</t>
    </r>
    <r>
      <rPr>
        <sz val="11"/>
        <color theme="1"/>
        <rFont val="Calibri"/>
        <family val="2"/>
        <scheme val="minor"/>
      </rPr>
      <t xml:space="preserve"> Capstone Experience 421,</t>
    </r>
    <r>
      <rPr>
        <b/>
        <sz val="11"/>
        <rFont val="Calibri"/>
        <family val="2"/>
      </rPr>
      <t xml:space="preserve"> Mobile Development 425</t>
    </r>
    <r>
      <rPr>
        <sz val="11"/>
        <color theme="1"/>
        <rFont val="Calibri"/>
        <family val="2"/>
        <scheme val="minor"/>
      </rPr>
      <t>, Information Assurance and Security 452, Project 485,</t>
    </r>
    <r>
      <rPr>
        <sz val="11"/>
        <color rgb="FF7030A0"/>
        <rFont val="Calibri"/>
        <family val="2"/>
        <scheme val="minor"/>
      </rPr>
      <t xml:space="preserve"> ITI Internship 493</t>
    </r>
    <r>
      <rPr>
        <sz val="11"/>
        <color theme="1"/>
        <rFont val="Calibri"/>
        <family val="2"/>
        <scheme val="minor"/>
      </rPr>
      <t>,</t>
    </r>
    <r>
      <rPr>
        <b/>
        <sz val="11"/>
        <rFont val="Calibri"/>
        <family val="2"/>
        <scheme val="minor"/>
      </rPr>
      <t xml:space="preserve"> </t>
    </r>
    <r>
      <rPr>
        <b/>
        <sz val="11"/>
        <rFont val="Calibri"/>
        <family val="2"/>
      </rPr>
      <t>Emerging Technologies 495</t>
    </r>
  </si>
  <si>
    <t>ITSCM 310 Enterprise Systems &amp; Business Process Integration--Business Analysis Emph</t>
  </si>
  <si>
    <t>ITSCM 380 Business Intelliegence</t>
  </si>
  <si>
    <t>ITSCM 410 Business Process Management &amp; simulation-Business Analysis Emph</t>
  </si>
  <si>
    <t>CS 300+ Internship possibly?</t>
  </si>
  <si>
    <t>Could use internship too, but then would I miss out on Emphasis?</t>
  </si>
  <si>
    <t>Offered summer 2015</t>
  </si>
  <si>
    <t>Take in summer if possible Could be taken summer 2015 online or winterim 2015</t>
  </si>
  <si>
    <t>CompSci 382 Server Side Scripting</t>
  </si>
  <si>
    <t>FALL ONLY! CompSci 481 Web and unix admin</t>
  </si>
  <si>
    <t>IT Elective-5</t>
  </si>
  <si>
    <t>Internship?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</si>
</sst>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9">
    <font>
      <sz val="11"/>
      <color theme="1"/>
      <name val="Calibri"/>
      <family val="2"/>
      <scheme val="minor"/>
    </font>
    <font>
      <b/>
      <sz val="11"/>
      <color theme="1"/>
      <name val="Calibri"/>
      <family val="2"/>
      <scheme val="minor"/>
    </font>
    <font>
      <strike/>
      <sz val="11"/>
      <color theme="1"/>
      <name val="Calibri"/>
      <family val="2"/>
      <scheme val="minor"/>
    </font>
    <font>
      <b/>
      <sz val="16"/>
      <color theme="1"/>
      <name val="Calibri"/>
      <family val="2"/>
      <scheme val="minor"/>
    </font>
    <font>
      <sz val="11"/>
      <color theme="0"/>
      <name val="Calibri"/>
      <family val="2"/>
      <scheme val="minor"/>
    </font>
    <font>
      <b/>
      <u/>
      <sz val="16"/>
      <color theme="0"/>
      <name val="Calibri"/>
      <family val="2"/>
      <scheme val="minor"/>
    </font>
    <font>
      <b/>
      <u/>
      <sz val="16"/>
      <color theme="1"/>
      <name val="Calibri"/>
      <family val="2"/>
      <scheme val="minor"/>
    </font>
    <font>
      <b/>
      <u/>
      <sz val="16"/>
      <color rgb="FFFF0000"/>
      <name val="Calibri"/>
      <family val="2"/>
      <scheme val="minor"/>
    </font>
    <font>
      <b/>
      <u/>
      <sz val="18"/>
      <color theme="0"/>
      <name val="Calibri"/>
      <family val="2"/>
      <scheme val="minor"/>
    </font>
    <font>
      <b/>
      <sz val="12"/>
      <color theme="0"/>
      <name val="Calibri"/>
      <family val="2"/>
      <scheme val="minor"/>
    </font>
    <font>
      <b/>
      <sz val="12"/>
      <color theme="1"/>
      <name val="Calibri"/>
      <family val="2"/>
      <scheme val="minor"/>
    </font>
    <font>
      <b/>
      <sz val="1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4"/>
      <color rgb="FF000000"/>
      <name val="Inherit"/>
    </font>
    <font>
      <sz val="9"/>
      <color rgb="FF000000"/>
      <name val="Inherit"/>
    </font>
    <font>
      <b/>
      <sz val="15"/>
      <color rgb="FF000000"/>
      <name val="Arial"/>
      <family val="2"/>
    </font>
    <font>
      <sz val="18"/>
      <color theme="3"/>
      <name val="Calibri Light"/>
      <family val="2"/>
      <scheme val="major"/>
    </font>
    <font>
      <b/>
      <sz val="11"/>
      <color rgb="FFFA7D00"/>
      <name val="Calibri"/>
      <family val="2"/>
      <scheme val="minor"/>
    </font>
    <font>
      <i/>
      <sz val="11"/>
      <color rgb="FF7F7F7F"/>
      <name val="Calibri"/>
      <family val="2"/>
      <scheme val="minor"/>
    </font>
    <font>
      <b/>
      <u/>
      <sz val="18"/>
      <color theme="3"/>
      <name val="Calibri Light"/>
      <family val="2"/>
      <scheme val="major"/>
    </font>
    <font>
      <u/>
      <sz val="11"/>
      <color theme="10"/>
      <name val="Calibri"/>
      <family val="2"/>
      <scheme val="minor"/>
    </font>
    <font>
      <sz val="11"/>
      <color theme="4" tint="-0.499984740745262"/>
      <name val="Calibri"/>
      <family val="2"/>
      <scheme val="minor"/>
    </font>
    <font>
      <u/>
      <sz val="24"/>
      <color theme="3"/>
      <name val="Calibri Light"/>
      <family val="2"/>
      <scheme val="major"/>
    </font>
    <font>
      <b/>
      <sz val="22"/>
      <color theme="1"/>
      <name val="Calibri"/>
      <family val="2"/>
      <scheme val="minor"/>
    </font>
    <font>
      <b/>
      <u/>
      <sz val="24"/>
      <color theme="1"/>
      <name val="Calibri"/>
      <family val="2"/>
      <scheme val="minor"/>
    </font>
    <font>
      <u/>
      <sz val="14"/>
      <color theme="10"/>
      <name val="Calibri"/>
      <family val="2"/>
      <scheme val="minor"/>
    </font>
    <font>
      <b/>
      <sz val="14"/>
      <color theme="1"/>
      <name val="Calibri"/>
      <family val="2"/>
      <scheme val="minor"/>
    </font>
    <font>
      <b/>
      <sz val="16"/>
      <color rgb="FFFA7D00"/>
      <name val="Calibri"/>
      <family val="2"/>
      <scheme val="minor"/>
    </font>
    <font>
      <u/>
      <sz val="36"/>
      <color theme="3"/>
      <name val="Calibri Light"/>
      <family val="2"/>
      <scheme val="major"/>
    </font>
    <font>
      <b/>
      <u/>
      <sz val="14"/>
      <color theme="1"/>
      <name val="Calibri"/>
      <family val="2"/>
      <scheme val="minor"/>
    </font>
    <font>
      <i/>
      <sz val="11"/>
      <color theme="1"/>
      <name val="Calibri"/>
      <family val="2"/>
      <scheme val="minor"/>
    </font>
    <font>
      <sz val="11"/>
      <color rgb="FFFF0000"/>
      <name val="Calibri"/>
      <family val="2"/>
      <scheme val="minor"/>
    </font>
    <font>
      <b/>
      <sz val="11"/>
      <color theme="1"/>
      <name val="Calibri"/>
      <scheme val="minor"/>
    </font>
    <font>
      <sz val="11"/>
      <color theme="1"/>
      <name val="Calibri"/>
      <scheme val="minor"/>
    </font>
    <font>
      <sz val="11"/>
      <color rgb="FF000000"/>
      <name val="Calibri"/>
      <family val="2"/>
      <scheme val="minor"/>
    </font>
    <font>
      <sz val="27"/>
      <color rgb="FF333333"/>
      <name val="Arial"/>
      <family val="2"/>
    </font>
    <font>
      <b/>
      <sz val="18"/>
      <color rgb="FFFFFFFF"/>
      <name val="Arial"/>
      <family val="2"/>
    </font>
    <font>
      <sz val="12"/>
      <color rgb="FF666666"/>
      <name val="Arial"/>
      <family val="2"/>
    </font>
    <font>
      <b/>
      <sz val="12"/>
      <color rgb="FF666666"/>
      <name val="Arial"/>
      <family val="2"/>
    </font>
    <font>
      <sz val="12"/>
      <color rgb="FF000000"/>
      <name val="Inherit"/>
    </font>
    <font>
      <b/>
      <sz val="18"/>
      <color rgb="FFFFFFFF"/>
      <name val="PT Sans"/>
      <family val="2"/>
    </font>
    <font>
      <b/>
      <sz val="12"/>
      <color rgb="FF422D5C"/>
      <name val="Arial"/>
      <family val="2"/>
    </font>
    <font>
      <sz val="27"/>
      <color rgb="FF333333"/>
      <name val="Arial"/>
      <family val="2"/>
    </font>
    <font>
      <b/>
      <strike/>
      <sz val="12"/>
      <color rgb="FF666666"/>
      <name val="Arial"/>
      <family val="2"/>
    </font>
    <font>
      <strike/>
      <sz val="12"/>
      <color rgb="FF666666"/>
      <name val="Arial"/>
      <family val="2"/>
    </font>
    <font>
      <sz val="11"/>
      <color theme="1"/>
      <name val="Calibri"/>
      <family val="2"/>
    </font>
    <font>
      <b/>
      <sz val="11"/>
      <color rgb="FFFF0000"/>
      <name val="Calibri"/>
      <family val="2"/>
    </font>
    <font>
      <sz val="11"/>
      <color rgb="FFFF0000"/>
      <name val="Calibri"/>
      <family val="2"/>
    </font>
    <font>
      <sz val="11"/>
      <name val="Calibri"/>
      <family val="2"/>
    </font>
    <font>
      <b/>
      <sz val="11"/>
      <name val="Calibri"/>
      <family val="2"/>
    </font>
    <font>
      <sz val="11"/>
      <color rgb="FF006100"/>
      <name val="Calibri"/>
      <family val="2"/>
      <scheme val="minor"/>
    </font>
    <font>
      <sz val="11"/>
      <color rgb="FF9C6500"/>
      <name val="Calibri"/>
      <family val="2"/>
      <scheme val="minor"/>
    </font>
    <font>
      <sz val="10"/>
      <color rgb="FF000000"/>
      <name val="Inherit"/>
    </font>
    <font>
      <b/>
      <sz val="15"/>
      <color rgb="FF000000"/>
      <name val="Inherit"/>
    </font>
    <font>
      <b/>
      <sz val="12"/>
      <color rgb="FF000000"/>
      <name val="Inherit"/>
    </font>
    <font>
      <sz val="11"/>
      <color rgb="FF7030A0"/>
      <name val="Calibri"/>
      <family val="2"/>
      <scheme val="minor"/>
    </font>
  </fonts>
  <fills count="21">
    <fill>
      <patternFill patternType="none"/>
    </fill>
    <fill>
      <patternFill patternType="gray125"/>
    </fill>
    <fill>
      <patternFill patternType="solid">
        <fgColor theme="4"/>
      </patternFill>
    </fill>
    <fill>
      <patternFill patternType="solid">
        <fgColor theme="5"/>
      </patternFill>
    </fill>
    <fill>
      <patternFill patternType="solid">
        <fgColor theme="7"/>
      </patternFill>
    </fill>
    <fill>
      <patternFill patternType="solid">
        <fgColor theme="7" tint="0.39997558519241921"/>
        <bgColor indexed="65"/>
      </patternFill>
    </fill>
    <fill>
      <patternFill patternType="solid">
        <fgColor theme="9"/>
      </patternFill>
    </fill>
    <fill>
      <patternFill patternType="solid">
        <fgColor rgb="FFFFFFFF"/>
        <bgColor indexed="64"/>
      </patternFill>
    </fill>
    <fill>
      <patternFill patternType="solid">
        <fgColor rgb="FFF2F2F2"/>
      </patternFill>
    </fill>
    <fill>
      <patternFill patternType="solid">
        <fgColor theme="9" tint="0.39997558519241921"/>
        <bgColor indexed="65"/>
      </patternFill>
    </fill>
    <fill>
      <patternFill patternType="solid">
        <fgColor theme="0"/>
        <bgColor indexed="64"/>
      </patternFill>
    </fill>
    <fill>
      <patternFill patternType="solid">
        <fgColor theme="1" tint="0.249977111117893"/>
        <bgColor indexed="64"/>
      </patternFill>
    </fill>
    <fill>
      <patternFill patternType="solid">
        <fgColor theme="0"/>
        <bgColor theme="0" tint="-0.14999847407452621"/>
      </patternFill>
    </fill>
    <fill>
      <patternFill patternType="solid">
        <fgColor theme="0" tint="-4.9989318521683403E-2"/>
        <bgColor indexed="64"/>
      </patternFill>
    </fill>
    <fill>
      <patternFill patternType="solid">
        <fgColor rgb="FFCCCCCC"/>
        <bgColor indexed="64"/>
      </patternFill>
    </fill>
    <fill>
      <patternFill patternType="solid">
        <fgColor rgb="FFF4F4F4"/>
        <bgColor indexed="64"/>
      </patternFill>
    </fill>
    <fill>
      <patternFill patternType="solid">
        <fgColor rgb="FFC6EFCE"/>
      </patternFill>
    </fill>
    <fill>
      <patternFill patternType="solid">
        <fgColor rgb="FFFFEB9C"/>
      </patternFill>
    </fill>
    <fill>
      <patternFill patternType="solid">
        <fgColor rgb="FFFFFFCC"/>
      </patternFill>
    </fill>
    <fill>
      <patternFill patternType="solid">
        <fgColor rgb="FFDDDDDD"/>
        <bgColor indexed="64"/>
      </patternFill>
    </fill>
    <fill>
      <patternFill patternType="solid">
        <fgColor rgb="FF288C3B"/>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style="thick">
        <color rgb="FFFFC000"/>
      </right>
      <top/>
      <bottom style="thick">
        <color rgb="FFFFC000"/>
      </bottom>
      <diagonal/>
    </border>
    <border>
      <left/>
      <right/>
      <top/>
      <bottom style="thick">
        <color rgb="FFFFC000"/>
      </bottom>
      <diagonal/>
    </border>
    <border>
      <left style="thick">
        <color rgb="FFFFC000"/>
      </left>
      <right/>
      <top/>
      <bottom style="thick">
        <color rgb="FFFFC000"/>
      </bottom>
      <diagonal/>
    </border>
    <border>
      <left/>
      <right style="thick">
        <color rgb="FFFFC000"/>
      </right>
      <top/>
      <bottom/>
      <diagonal/>
    </border>
    <border>
      <left style="thick">
        <color rgb="FFFFC000"/>
      </left>
      <right/>
      <top/>
      <bottom/>
      <diagonal/>
    </border>
    <border>
      <left/>
      <right style="thick">
        <color rgb="FFFFC000"/>
      </right>
      <top style="thick">
        <color rgb="FFFFC000"/>
      </top>
      <bottom/>
      <diagonal/>
    </border>
    <border>
      <left/>
      <right/>
      <top style="thick">
        <color rgb="FFFFC000"/>
      </top>
      <bottom/>
      <diagonal/>
    </border>
    <border>
      <left style="thick">
        <color rgb="FFFFC000"/>
      </left>
      <right/>
      <top style="thick">
        <color rgb="FFFFC000"/>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indexed="64"/>
      </left>
      <right style="thin">
        <color theme="2" tint="-9.9978637043366805E-2"/>
      </right>
      <top style="thin">
        <color indexed="64"/>
      </top>
      <bottom style="thin">
        <color indexed="64"/>
      </bottom>
      <diagonal/>
    </border>
    <border>
      <left style="thin">
        <color theme="2" tint="-9.9978637043366805E-2"/>
      </left>
      <right style="thin">
        <color theme="2" tint="-9.9978637043366805E-2"/>
      </right>
      <top style="thin">
        <color indexed="64"/>
      </top>
      <bottom style="thin">
        <color indexed="64"/>
      </bottom>
      <diagonal/>
    </border>
    <border>
      <left style="thin">
        <color theme="2" tint="-9.9978637043366805E-2"/>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style="medium">
        <color indexed="64"/>
      </top>
      <bottom style="medium">
        <color indexed="64"/>
      </bottom>
      <diagonal/>
    </border>
    <border>
      <left/>
      <right/>
      <top style="thin">
        <color theme="2" tint="-9.9978637043366805E-2"/>
      </top>
      <bottom style="thin">
        <color indexed="64"/>
      </bottom>
      <diagonal/>
    </border>
    <border>
      <left/>
      <right style="thin">
        <color indexed="64"/>
      </right>
      <top/>
      <bottom/>
      <diagonal/>
    </border>
    <border>
      <left style="thin">
        <color theme="2" tint="-9.9978637043366805E-2"/>
      </left>
      <right/>
      <top/>
      <bottom/>
      <diagonal/>
    </border>
    <border>
      <left style="thin">
        <color theme="2" tint="-9.9978637043366805E-2"/>
      </left>
      <right style="thin">
        <color theme="2" tint="-9.9978637043366805E-2"/>
      </right>
      <top style="thin">
        <color theme="2" tint="-9.9978637043366805E-2"/>
      </top>
      <bottom/>
      <diagonal/>
    </border>
    <border>
      <left style="medium">
        <color indexed="64"/>
      </left>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s>
  <cellStyleXfs count="14">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19" fillId="0" borderId="0" applyNumberFormat="0" applyFill="0" applyBorder="0" applyAlignment="0" applyProtection="0"/>
    <xf numFmtId="0" fontId="20" fillId="8" borderId="11" applyNumberFormat="0" applyAlignment="0" applyProtection="0"/>
    <xf numFmtId="0" fontId="21" fillId="0" borderId="0" applyNumberFormat="0" applyFill="0" applyBorder="0" applyAlignment="0" applyProtection="0"/>
    <xf numFmtId="0" fontId="4" fillId="9" borderId="0" applyNumberFormat="0" applyBorder="0" applyAlignment="0" applyProtection="0"/>
    <xf numFmtId="0" fontId="23" fillId="0" borderId="0" applyNumberFormat="0" applyFill="0" applyBorder="0" applyAlignment="0" applyProtection="0"/>
    <xf numFmtId="0" fontId="53" fillId="16" borderId="0" applyNumberFormat="0" applyBorder="0" applyAlignment="0" applyProtection="0"/>
    <xf numFmtId="0" fontId="54" fillId="17" borderId="0" applyNumberFormat="0" applyBorder="0" applyAlignment="0" applyProtection="0"/>
    <xf numFmtId="0" fontId="12" fillId="18" borderId="38" applyNumberFormat="0" applyFont="0" applyAlignment="0" applyProtection="0"/>
  </cellStyleXfs>
  <cellXfs count="206">
    <xf numFmtId="0" fontId="0" fillId="0" borderId="0" xfId="0"/>
    <xf numFmtId="0" fontId="0" fillId="0" borderId="0" xfId="0" applyProtection="1">
      <protection locked="0"/>
    </xf>
    <xf numFmtId="0" fontId="1" fillId="0" borderId="0" xfId="0" applyFont="1" applyProtection="1">
      <protection locked="0"/>
    </xf>
    <xf numFmtId="0" fontId="0" fillId="0" borderId="0" xfId="0" applyProtection="1"/>
    <xf numFmtId="0" fontId="0" fillId="0" borderId="0" xfId="0" applyNumberFormat="1" applyProtection="1"/>
    <xf numFmtId="0" fontId="1" fillId="0" borderId="0" xfId="0" applyFont="1" applyProtection="1"/>
    <xf numFmtId="0" fontId="0" fillId="0" borderId="0" xfId="0" applyFont="1" applyProtection="1">
      <protection locked="0"/>
    </xf>
    <xf numFmtId="0" fontId="2" fillId="0" borderId="0" xfId="0" applyFont="1" applyProtection="1">
      <protection locked="0"/>
    </xf>
    <xf numFmtId="0" fontId="0" fillId="0" borderId="3" xfId="0" applyBorder="1" applyProtection="1"/>
    <xf numFmtId="0" fontId="1" fillId="0" borderId="7" xfId="0" applyFont="1" applyBorder="1" applyProtection="1"/>
    <xf numFmtId="0" fontId="0" fillId="0" borderId="7" xfId="0" applyBorder="1" applyProtection="1"/>
    <xf numFmtId="164" fontId="1" fillId="0" borderId="7" xfId="0" applyNumberFormat="1" applyFont="1" applyBorder="1" applyProtection="1"/>
    <xf numFmtId="164" fontId="0" fillId="0" borderId="7" xfId="0" applyNumberFormat="1" applyBorder="1" applyProtection="1"/>
    <xf numFmtId="0" fontId="15" fillId="0" borderId="0" xfId="0" applyFont="1" applyAlignment="1" applyProtection="1">
      <alignment wrapText="1"/>
      <protection locked="0"/>
    </xf>
    <xf numFmtId="0" fontId="15" fillId="0" borderId="0" xfId="0" applyFont="1" applyProtection="1">
      <protection locked="0"/>
    </xf>
    <xf numFmtId="0" fontId="0" fillId="0" borderId="0" xfId="0" applyBorder="1" applyProtection="1"/>
    <xf numFmtId="0" fontId="0" fillId="0" borderId="9" xfId="0" applyBorder="1" applyProtection="1">
      <protection locked="0"/>
    </xf>
    <xf numFmtId="0" fontId="1" fillId="0" borderId="9" xfId="0" applyFont="1" applyBorder="1" applyProtection="1">
      <protection locked="0"/>
    </xf>
    <xf numFmtId="0" fontId="0" fillId="0" borderId="0" xfId="0" quotePrefix="1" applyProtection="1">
      <protection locked="0"/>
    </xf>
    <xf numFmtId="0" fontId="0" fillId="0" borderId="0" xfId="0" applyFont="1" applyProtection="1"/>
    <xf numFmtId="0" fontId="3" fillId="0" borderId="0" xfId="0" applyFont="1" applyAlignment="1" applyProtection="1"/>
    <xf numFmtId="0" fontId="0" fillId="0" borderId="0" xfId="0" applyAlignment="1" applyProtection="1"/>
    <xf numFmtId="0" fontId="0" fillId="0" borderId="0" xfId="0" applyFill="1" applyProtection="1"/>
    <xf numFmtId="0" fontId="6" fillId="0" borderId="0" xfId="0" applyFont="1" applyProtection="1"/>
    <xf numFmtId="0" fontId="1" fillId="0" borderId="0" xfId="0" applyNumberFormat="1" applyFont="1" applyProtection="1"/>
    <xf numFmtId="0" fontId="0" fillId="0" borderId="9" xfId="0" applyFont="1" applyBorder="1" applyProtection="1">
      <protection locked="0"/>
    </xf>
    <xf numFmtId="0" fontId="13" fillId="0" borderId="9" xfId="0" applyFont="1" applyBorder="1" applyProtection="1">
      <protection locked="0"/>
    </xf>
    <xf numFmtId="0" fontId="12" fillId="0" borderId="9" xfId="0" applyFont="1" applyBorder="1" applyProtection="1">
      <protection locked="0"/>
    </xf>
    <xf numFmtId="0" fontId="14" fillId="0" borderId="9" xfId="0" applyFont="1" applyBorder="1" applyProtection="1">
      <protection locked="0"/>
    </xf>
    <xf numFmtId="0" fontId="0" fillId="0" borderId="0" xfId="0" applyAlignment="1" applyProtection="1">
      <alignment horizontal="center"/>
    </xf>
    <xf numFmtId="0" fontId="0" fillId="0" borderId="20" xfId="0" applyBorder="1" applyProtection="1">
      <protection locked="0"/>
    </xf>
    <xf numFmtId="0" fontId="0" fillId="0" borderId="20" xfId="0" applyFont="1" applyBorder="1" applyProtection="1">
      <protection locked="0"/>
    </xf>
    <xf numFmtId="0" fontId="1" fillId="0" borderId="20" xfId="0" applyFont="1" applyBorder="1" applyProtection="1">
      <protection locked="0"/>
    </xf>
    <xf numFmtId="0" fontId="18" fillId="0" borderId="20" xfId="0" applyFont="1" applyBorder="1" applyProtection="1">
      <protection locked="0"/>
    </xf>
    <xf numFmtId="0" fontId="17" fillId="7" borderId="20" xfId="0" applyFont="1" applyFill="1" applyBorder="1" applyAlignment="1" applyProtection="1">
      <alignment vertical="center" wrapText="1"/>
      <protection locked="0"/>
    </xf>
    <xf numFmtId="0" fontId="0" fillId="0" borderId="20" xfId="0" applyBorder="1" applyAlignment="1" applyProtection="1">
      <alignment wrapText="1"/>
      <protection locked="0"/>
    </xf>
    <xf numFmtId="0" fontId="0" fillId="12" borderId="9" xfId="0" applyFont="1" applyFill="1" applyBorder="1" applyProtection="1">
      <protection locked="0"/>
    </xf>
    <xf numFmtId="0" fontId="6" fillId="0" borderId="0" xfId="0" applyFont="1" applyAlignment="1" applyProtection="1">
      <alignment horizontal="center"/>
    </xf>
    <xf numFmtId="0" fontId="1" fillId="0" borderId="32" xfId="0" applyFont="1" applyBorder="1" applyProtection="1"/>
    <xf numFmtId="0" fontId="0" fillId="0" borderId="32" xfId="0" applyBorder="1" applyProtection="1"/>
    <xf numFmtId="164" fontId="1" fillId="0" borderId="32" xfId="0" applyNumberFormat="1" applyFont="1" applyBorder="1" applyProtection="1"/>
    <xf numFmtId="0" fontId="0" fillId="0" borderId="33" xfId="0" applyBorder="1" applyProtection="1"/>
    <xf numFmtId="164" fontId="0" fillId="0" borderId="8" xfId="0" applyNumberFormat="1" applyBorder="1" applyProtection="1"/>
    <xf numFmtId="164" fontId="0" fillId="0" borderId="33" xfId="0" applyNumberFormat="1" applyBorder="1" applyProtection="1"/>
    <xf numFmtId="164" fontId="0" fillId="0" borderId="6" xfId="0" applyNumberFormat="1" applyBorder="1" applyProtection="1"/>
    <xf numFmtId="0" fontId="1" fillId="0" borderId="0" xfId="0" applyFont="1" applyBorder="1" applyProtection="1"/>
    <xf numFmtId="0" fontId="0" fillId="0" borderId="0" xfId="0" applyBorder="1" applyAlignment="1" applyProtection="1"/>
    <xf numFmtId="0" fontId="4" fillId="0" borderId="0" xfId="0" applyFont="1" applyProtection="1"/>
    <xf numFmtId="0" fontId="11" fillId="5" borderId="1" xfId="4" applyFont="1" applyBorder="1" applyAlignment="1" applyProtection="1">
      <alignment horizontal="center" vertical="center"/>
    </xf>
    <xf numFmtId="0" fontId="9" fillId="4" borderId="1" xfId="3" applyFont="1" applyBorder="1" applyAlignment="1" applyProtection="1">
      <alignment horizontal="center"/>
    </xf>
    <xf numFmtId="0" fontId="1" fillId="0" borderId="7" xfId="0" applyNumberFormat="1" applyFont="1" applyBorder="1" applyProtection="1"/>
    <xf numFmtId="0" fontId="9" fillId="4" borderId="1" xfId="3" applyFont="1" applyBorder="1" applyAlignment="1" applyProtection="1">
      <alignment horizontal="center" vertical="center"/>
    </xf>
    <xf numFmtId="0" fontId="0" fillId="0" borderId="34" xfId="0" applyBorder="1" applyAlignment="1" applyProtection="1"/>
    <xf numFmtId="0" fontId="10" fillId="0" borderId="35" xfId="0" applyFont="1" applyBorder="1" applyProtection="1"/>
    <xf numFmtId="0" fontId="10" fillId="0" borderId="23" xfId="0" applyFont="1" applyBorder="1" applyProtection="1"/>
    <xf numFmtId="0" fontId="10" fillId="0" borderId="24" xfId="0" applyFont="1" applyBorder="1" applyProtection="1"/>
    <xf numFmtId="0" fontId="10" fillId="0" borderId="0" xfId="0" applyFont="1" applyProtection="1"/>
    <xf numFmtId="0" fontId="0" fillId="11" borderId="0" xfId="0" applyFill="1" applyProtection="1"/>
    <xf numFmtId="0" fontId="25" fillId="13" borderId="0" xfId="6" applyFont="1" applyFill="1" applyAlignment="1" applyProtection="1">
      <alignment horizontal="center"/>
    </xf>
    <xf numFmtId="0" fontId="23" fillId="13" borderId="0" xfId="10" applyFill="1" applyAlignment="1" applyProtection="1">
      <alignment vertical="center"/>
    </xf>
    <xf numFmtId="0" fontId="0" fillId="13" borderId="0" xfId="0" applyFill="1" applyProtection="1"/>
    <xf numFmtId="0" fontId="0" fillId="13" borderId="16" xfId="0" applyFill="1" applyBorder="1" applyProtection="1"/>
    <xf numFmtId="0" fontId="0" fillId="13" borderId="15" xfId="0" applyFill="1" applyBorder="1" applyProtection="1"/>
    <xf numFmtId="0" fontId="0" fillId="13" borderId="0" xfId="0" applyFill="1" applyBorder="1" applyProtection="1"/>
    <xf numFmtId="0" fontId="22" fillId="13" borderId="15" xfId="6" applyFont="1" applyFill="1" applyBorder="1" applyAlignment="1" applyProtection="1">
      <alignment horizontal="center"/>
    </xf>
    <xf numFmtId="0" fontId="21" fillId="13" borderId="0" xfId="8" applyFill="1" applyBorder="1" applyAlignment="1" applyProtection="1">
      <alignment horizontal="left"/>
    </xf>
    <xf numFmtId="0" fontId="0" fillId="13" borderId="14" xfId="0" applyFill="1" applyBorder="1" applyProtection="1"/>
    <xf numFmtId="0" fontId="0" fillId="13" borderId="13" xfId="0" applyFill="1" applyBorder="1" applyAlignment="1" applyProtection="1">
      <alignment horizontal="center"/>
    </xf>
    <xf numFmtId="0" fontId="0" fillId="13" borderId="13" xfId="0" applyFill="1" applyBorder="1" applyProtection="1"/>
    <xf numFmtId="0" fontId="0" fillId="13" borderId="12" xfId="0" applyFill="1" applyBorder="1" applyProtection="1"/>
    <xf numFmtId="0" fontId="0" fillId="13" borderId="0" xfId="0" applyFill="1" applyBorder="1" applyAlignment="1" applyProtection="1">
      <alignment horizontal="center"/>
    </xf>
    <xf numFmtId="0" fontId="29" fillId="13" borderId="0" xfId="0" applyFont="1" applyFill="1" applyProtection="1"/>
    <xf numFmtId="0" fontId="20" fillId="13" borderId="0" xfId="7" applyFill="1" applyBorder="1" applyAlignment="1" applyProtection="1">
      <alignment horizontal="center"/>
    </xf>
    <xf numFmtId="0" fontId="28" fillId="13" borderId="0" xfId="10" quotePrefix="1" applyFont="1" applyFill="1" applyBorder="1" applyAlignment="1" applyProtection="1"/>
    <xf numFmtId="0" fontId="28" fillId="13" borderId="0" xfId="10" quotePrefix="1" applyFont="1" applyFill="1" applyBorder="1" applyAlignment="1" applyProtection="1">
      <alignment horizontal="center"/>
    </xf>
    <xf numFmtId="0" fontId="23" fillId="13" borderId="0" xfId="10" quotePrefix="1" applyFill="1" applyAlignment="1" applyProtection="1">
      <alignment horizontal="center"/>
    </xf>
    <xf numFmtId="0" fontId="0" fillId="13" borderId="0" xfId="0" applyFill="1" applyAlignment="1" applyProtection="1">
      <alignment horizontal="center"/>
    </xf>
    <xf numFmtId="0" fontId="0" fillId="13" borderId="30" xfId="0" applyFill="1" applyBorder="1" applyProtection="1"/>
    <xf numFmtId="0" fontId="4" fillId="6" borderId="9" xfId="5" applyBorder="1" applyProtection="1">
      <protection locked="0"/>
    </xf>
    <xf numFmtId="0" fontId="30" fillId="13" borderId="0" xfId="7" applyFont="1" applyFill="1" applyBorder="1" applyAlignment="1" applyProtection="1">
      <alignment horizontal="center"/>
    </xf>
    <xf numFmtId="0" fontId="20" fillId="13" borderId="0" xfId="7" applyFill="1" applyBorder="1" applyAlignment="1" applyProtection="1"/>
    <xf numFmtId="0" fontId="20" fillId="11" borderId="0" xfId="7" applyFill="1" applyBorder="1" applyAlignment="1" applyProtection="1"/>
    <xf numFmtId="0" fontId="6" fillId="13" borderId="0" xfId="0" applyFont="1" applyFill="1" applyProtection="1"/>
    <xf numFmtId="0" fontId="32" fillId="13" borderId="0" xfId="0" applyFont="1" applyFill="1" applyAlignment="1" applyProtection="1"/>
    <xf numFmtId="0" fontId="0" fillId="13" borderId="0" xfId="0" applyFill="1" applyAlignment="1" applyProtection="1">
      <alignment vertical="center" wrapText="1"/>
    </xf>
    <xf numFmtId="0" fontId="25" fillId="13" borderId="0" xfId="6" applyFont="1" applyFill="1" applyAlignment="1" applyProtection="1">
      <alignment horizontal="center" wrapText="1"/>
    </xf>
    <xf numFmtId="0" fontId="22" fillId="13" borderId="16" xfId="6" applyFont="1" applyFill="1" applyBorder="1" applyAlignment="1" applyProtection="1">
      <alignment horizontal="center"/>
    </xf>
    <xf numFmtId="0" fontId="6" fillId="0" borderId="9" xfId="0" applyFont="1" applyBorder="1" applyAlignment="1" applyProtection="1">
      <alignment horizontal="center"/>
      <protection locked="0"/>
    </xf>
    <xf numFmtId="0" fontId="0" fillId="13" borderId="0" xfId="0" applyFill="1" applyAlignment="1" applyProtection="1">
      <alignment horizontal="center" vertical="center"/>
    </xf>
    <xf numFmtId="0" fontId="6" fillId="0" borderId="0" xfId="0" applyFont="1" applyAlignment="1" applyProtection="1">
      <alignment horizontal="center"/>
    </xf>
    <xf numFmtId="0" fontId="34" fillId="10" borderId="0" xfId="0" applyFont="1" applyFill="1" applyProtection="1"/>
    <xf numFmtId="0" fontId="7" fillId="10" borderId="0" xfId="1" applyFont="1" applyFill="1" applyAlignment="1" applyProtection="1"/>
    <xf numFmtId="0" fontId="6" fillId="0" borderId="9" xfId="0" applyFont="1" applyBorder="1" applyAlignment="1" applyProtection="1">
      <alignment horizontal="center"/>
    </xf>
    <xf numFmtId="0" fontId="16" fillId="7" borderId="20" xfId="0" applyFont="1" applyFill="1" applyBorder="1" applyAlignment="1" applyProtection="1">
      <alignment vertical="center" wrapText="1"/>
      <protection locked="0"/>
    </xf>
    <xf numFmtId="0" fontId="6" fillId="0" borderId="0" xfId="0" applyFont="1" applyAlignment="1" applyProtection="1">
      <alignment horizontal="center"/>
    </xf>
    <xf numFmtId="0" fontId="0" fillId="0" borderId="0" xfId="0" applyFont="1"/>
    <xf numFmtId="0" fontId="36" fillId="0" borderId="9" xfId="0" applyFont="1" applyBorder="1" applyProtection="1">
      <protection locked="0"/>
    </xf>
    <xf numFmtId="0" fontId="36" fillId="0" borderId="37" xfId="0" applyFont="1" applyBorder="1" applyProtection="1">
      <protection locked="0"/>
    </xf>
    <xf numFmtId="0" fontId="37" fillId="0" borderId="0" xfId="0" applyFont="1" applyAlignment="1">
      <alignment vertical="center" readingOrder="1"/>
    </xf>
    <xf numFmtId="0" fontId="0" fillId="0" borderId="0" xfId="0" applyAlignment="1">
      <alignment vertical="center" readingOrder="1"/>
    </xf>
    <xf numFmtId="0" fontId="38" fillId="0" borderId="0" xfId="0" applyFont="1" applyAlignment="1">
      <alignment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0" fillId="0" borderId="0" xfId="0" applyFont="1" applyAlignment="1">
      <alignment horizontal="center" vertical="center" wrapText="1"/>
    </xf>
    <xf numFmtId="0" fontId="41" fillId="14" borderId="0" xfId="0" applyFont="1" applyFill="1" applyAlignment="1">
      <alignment vertical="center" wrapText="1"/>
    </xf>
    <xf numFmtId="0" fontId="41" fillId="0" borderId="0" xfId="0" applyFont="1" applyAlignment="1">
      <alignment horizontal="center" vertical="center" wrapText="1"/>
    </xf>
    <xf numFmtId="0" fontId="40" fillId="14" borderId="0" xfId="0" applyFont="1" applyFill="1" applyAlignment="1">
      <alignment vertical="center" wrapText="1"/>
    </xf>
    <xf numFmtId="0" fontId="41" fillId="15" borderId="0" xfId="0" applyFont="1" applyFill="1" applyAlignment="1">
      <alignment vertical="center" wrapText="1"/>
    </xf>
    <xf numFmtId="0" fontId="40" fillId="15" borderId="0" xfId="0" applyFont="1" applyFill="1" applyAlignment="1">
      <alignment vertical="center" wrapText="1"/>
    </xf>
    <xf numFmtId="0" fontId="0" fillId="15" borderId="0" xfId="0" applyFill="1" applyAlignment="1">
      <alignment vertical="top" wrapText="1"/>
    </xf>
    <xf numFmtId="0" fontId="40" fillId="0" borderId="0" xfId="0" applyFont="1" applyAlignment="1">
      <alignment vertical="center" wrapText="1"/>
    </xf>
    <xf numFmtId="0" fontId="0" fillId="14" borderId="0" xfId="0" applyFill="1" applyAlignment="1">
      <alignment vertical="top" wrapText="1"/>
    </xf>
    <xf numFmtId="0" fontId="35" fillId="0" borderId="0" xfId="0" applyFont="1" applyProtection="1">
      <protection locked="0"/>
    </xf>
    <xf numFmtId="0" fontId="42" fillId="7" borderId="20" xfId="0" applyFont="1" applyFill="1" applyBorder="1" applyAlignment="1" applyProtection="1">
      <alignment vertical="center" wrapText="1"/>
      <protection locked="0"/>
    </xf>
    <xf numFmtId="0" fontId="41" fillId="14" borderId="0" xfId="0" applyFont="1" applyFill="1" applyAlignment="1">
      <alignment horizontal="left" vertical="center" wrapText="1" indent="1"/>
    </xf>
    <xf numFmtId="0" fontId="40" fillId="14" borderId="0" xfId="0" applyFont="1" applyFill="1" applyAlignment="1">
      <alignment horizontal="left" vertical="center" wrapText="1" indent="1"/>
    </xf>
    <xf numFmtId="0" fontId="41" fillId="15" borderId="0" xfId="0" applyFont="1" applyFill="1" applyAlignment="1">
      <alignment horizontal="left" vertical="center" wrapText="1" indent="1"/>
    </xf>
    <xf numFmtId="0" fontId="40" fillId="15" borderId="0" xfId="0" applyFont="1" applyFill="1" applyAlignment="1">
      <alignment horizontal="left" vertical="center" wrapText="1" indent="1"/>
    </xf>
    <xf numFmtId="0" fontId="43" fillId="0" borderId="0" xfId="0" applyFont="1" applyAlignment="1">
      <alignment horizontal="center" vertical="center" wrapText="1"/>
    </xf>
    <xf numFmtId="0" fontId="0" fillId="15" borderId="0" xfId="0" applyFill="1" applyAlignment="1">
      <alignment vertical="top" wrapText="1" indent="1"/>
    </xf>
    <xf numFmtId="0" fontId="0" fillId="14" borderId="0" xfId="0" applyFill="1" applyAlignment="1">
      <alignment vertical="top" wrapText="1" indent="1"/>
    </xf>
    <xf numFmtId="0" fontId="45" fillId="0" borderId="0" xfId="0" applyFont="1" applyAlignment="1">
      <alignment vertical="center" wrapText="1"/>
    </xf>
    <xf numFmtId="0" fontId="46" fillId="14" borderId="0" xfId="0" applyFont="1" applyFill="1" applyAlignment="1">
      <alignment horizontal="left" vertical="center" wrapText="1" indent="1"/>
    </xf>
    <xf numFmtId="0" fontId="47" fillId="14" borderId="0" xfId="0" applyFont="1" applyFill="1" applyAlignment="1">
      <alignment horizontal="left" vertical="center" wrapText="1" indent="1"/>
    </xf>
    <xf numFmtId="0" fontId="48" fillId="0" borderId="0" xfId="0" applyFont="1" applyFill="1" applyBorder="1" applyProtection="1">
      <protection locked="0"/>
    </xf>
    <xf numFmtId="0" fontId="55" fillId="7" borderId="20" xfId="0" applyFont="1" applyFill="1" applyBorder="1" applyAlignment="1" applyProtection="1">
      <alignment vertical="center" wrapText="1"/>
      <protection locked="0"/>
    </xf>
    <xf numFmtId="0" fontId="57" fillId="19" borderId="0" xfId="0" applyFont="1" applyFill="1" applyAlignment="1">
      <alignment vertical="center" wrapText="1"/>
    </xf>
    <xf numFmtId="0" fontId="17" fillId="7" borderId="0" xfId="0" applyFont="1" applyFill="1" applyAlignment="1">
      <alignment vertical="center" wrapText="1"/>
    </xf>
    <xf numFmtId="0" fontId="53" fillId="16" borderId="0" xfId="11" applyAlignment="1">
      <alignment vertical="center" wrapText="1"/>
    </xf>
    <xf numFmtId="0" fontId="53" fillId="20" borderId="0" xfId="11" applyFill="1" applyAlignment="1">
      <alignment vertical="center" wrapText="1"/>
    </xf>
    <xf numFmtId="0" fontId="54" fillId="17" borderId="0" xfId="12" applyAlignment="1">
      <alignment vertical="center" wrapText="1"/>
    </xf>
    <xf numFmtId="0" fontId="54" fillId="18" borderId="38" xfId="13" applyFont="1" applyAlignment="1">
      <alignment vertical="center" wrapText="1"/>
    </xf>
    <xf numFmtId="0" fontId="0" fillId="13" borderId="0" xfId="0" applyFill="1" applyAlignment="1" applyProtection="1">
      <alignment horizontal="left" indent="2"/>
    </xf>
    <xf numFmtId="0" fontId="0" fillId="13" borderId="0" xfId="0" applyFill="1" applyAlignment="1" applyProtection="1"/>
    <xf numFmtId="0" fontId="20" fillId="13" borderId="0" xfId="7" applyFill="1" applyBorder="1" applyAlignment="1" applyProtection="1">
      <alignment horizontal="center"/>
    </xf>
    <xf numFmtId="0" fontId="4" fillId="6" borderId="25" xfId="5" applyBorder="1" applyAlignment="1" applyProtection="1">
      <alignment horizontal="center"/>
    </xf>
    <xf numFmtId="0" fontId="4" fillId="6" borderId="26" xfId="5" applyBorder="1" applyAlignment="1" applyProtection="1">
      <alignment horizontal="center"/>
    </xf>
    <xf numFmtId="0" fontId="4" fillId="6" borderId="27" xfId="5" applyBorder="1" applyAlignment="1" applyProtection="1">
      <alignment horizontal="center"/>
    </xf>
    <xf numFmtId="0" fontId="28" fillId="13" borderId="21" xfId="10" quotePrefix="1" applyFont="1" applyFill="1" applyBorder="1" applyAlignment="1" applyProtection="1">
      <alignment horizontal="center"/>
    </xf>
    <xf numFmtId="0" fontId="28" fillId="13" borderId="31" xfId="10" quotePrefix="1" applyFont="1" applyFill="1" applyBorder="1" applyAlignment="1" applyProtection="1">
      <alignment horizontal="center"/>
    </xf>
    <xf numFmtId="0" fontId="28" fillId="13" borderId="22" xfId="10" quotePrefix="1" applyFont="1" applyFill="1" applyBorder="1" applyAlignment="1" applyProtection="1">
      <alignment horizontal="center"/>
    </xf>
    <xf numFmtId="0" fontId="4" fillId="6" borderId="2" xfId="5" applyBorder="1" applyAlignment="1" applyProtection="1">
      <alignment horizontal="center"/>
    </xf>
    <xf numFmtId="0" fontId="4" fillId="6" borderId="7" xfId="5" applyBorder="1" applyAlignment="1" applyProtection="1">
      <alignment horizontal="center"/>
    </xf>
    <xf numFmtId="0" fontId="4" fillId="6" borderId="8" xfId="5" applyBorder="1" applyAlignment="1" applyProtection="1">
      <alignment horizontal="center"/>
    </xf>
    <xf numFmtId="0" fontId="4" fillId="6" borderId="3" xfId="5" applyBorder="1" applyAlignment="1" applyProtection="1">
      <alignment horizontal="center"/>
    </xf>
    <xf numFmtId="0" fontId="4" fillId="6" borderId="28" xfId="5" applyBorder="1" applyAlignment="1" applyProtection="1">
      <alignment horizontal="center"/>
    </xf>
    <xf numFmtId="0" fontId="4" fillId="6" borderId="4" xfId="5" applyBorder="1" applyAlignment="1" applyProtection="1">
      <alignment horizontal="center"/>
    </xf>
    <xf numFmtId="0" fontId="4" fillId="6" borderId="29" xfId="5" applyBorder="1" applyAlignment="1" applyProtection="1">
      <alignment horizontal="center"/>
    </xf>
    <xf numFmtId="0" fontId="4" fillId="9" borderId="0" xfId="9" applyBorder="1" applyAlignment="1" applyProtection="1">
      <alignment horizontal="center"/>
    </xf>
    <xf numFmtId="0" fontId="4" fillId="9" borderId="10" xfId="9" applyBorder="1" applyAlignment="1" applyProtection="1">
      <alignment horizontal="center"/>
    </xf>
    <xf numFmtId="0" fontId="4" fillId="6" borderId="5" xfId="5" applyBorder="1" applyAlignment="1" applyProtection="1">
      <alignment horizontal="center"/>
    </xf>
    <xf numFmtId="0" fontId="4" fillId="6" borderId="6" xfId="5" applyBorder="1" applyAlignment="1" applyProtection="1">
      <alignment horizontal="center"/>
    </xf>
    <xf numFmtId="0" fontId="27" fillId="13" borderId="19" xfId="0" applyFont="1" applyFill="1" applyBorder="1" applyAlignment="1" applyProtection="1">
      <alignment horizontal="center"/>
    </xf>
    <xf numFmtId="0" fontId="27" fillId="13" borderId="18" xfId="0" applyFont="1" applyFill="1" applyBorder="1" applyAlignment="1" applyProtection="1">
      <alignment horizontal="center"/>
    </xf>
    <xf numFmtId="0" fontId="27" fillId="13" borderId="17" xfId="0" applyFont="1" applyFill="1" applyBorder="1" applyAlignment="1" applyProtection="1">
      <alignment horizontal="center"/>
    </xf>
    <xf numFmtId="0" fontId="22" fillId="13" borderId="16" xfId="6" applyFont="1" applyFill="1" applyBorder="1" applyAlignment="1" applyProtection="1">
      <alignment horizontal="center"/>
    </xf>
    <xf numFmtId="0" fontId="22" fillId="13" borderId="0" xfId="6" applyFont="1" applyFill="1" applyBorder="1" applyAlignment="1" applyProtection="1">
      <alignment horizontal="center"/>
    </xf>
    <xf numFmtId="0" fontId="22" fillId="13" borderId="15" xfId="6" applyFont="1" applyFill="1" applyBorder="1" applyAlignment="1" applyProtection="1">
      <alignment horizontal="center"/>
    </xf>
    <xf numFmtId="0" fontId="4" fillId="6" borderId="21" xfId="5" applyBorder="1" applyAlignment="1" applyProtection="1">
      <alignment horizontal="center"/>
      <protection locked="0"/>
    </xf>
    <xf numFmtId="0" fontId="4" fillId="6" borderId="22" xfId="5" applyBorder="1" applyAlignment="1" applyProtection="1">
      <alignment horizontal="center"/>
      <protection locked="0"/>
    </xf>
    <xf numFmtId="0" fontId="31" fillId="13" borderId="0" xfId="6" applyFont="1" applyFill="1" applyAlignment="1" applyProtection="1">
      <alignment horizontal="center"/>
    </xf>
    <xf numFmtId="0" fontId="0" fillId="13" borderId="0" xfId="0" applyFill="1" applyAlignment="1" applyProtection="1">
      <alignment horizontal="center" vertical="center"/>
    </xf>
    <xf numFmtId="0" fontId="21" fillId="13" borderId="0" xfId="8" applyFill="1" applyBorder="1" applyAlignment="1" applyProtection="1">
      <alignment horizontal="center"/>
    </xf>
    <xf numFmtId="0" fontId="0" fillId="13" borderId="0" xfId="0" applyFill="1" applyAlignment="1" applyProtection="1">
      <alignment horizontal="center" vertical="center" wrapText="1"/>
    </xf>
    <xf numFmtId="0" fontId="17" fillId="7" borderId="0" xfId="0" applyFont="1" applyFill="1" applyAlignment="1">
      <alignment vertical="center" wrapText="1"/>
    </xf>
    <xf numFmtId="0" fontId="16" fillId="7" borderId="0" xfId="0" applyFont="1" applyFill="1" applyAlignment="1">
      <alignment vertical="center" wrapText="1"/>
    </xf>
    <xf numFmtId="0" fontId="53" fillId="20" borderId="0" xfId="11" applyFill="1" applyAlignment="1">
      <alignment vertical="center" wrapText="1"/>
    </xf>
    <xf numFmtId="0" fontId="0" fillId="0" borderId="0" xfId="0" applyAlignment="1" applyProtection="1">
      <alignment horizontal="center"/>
    </xf>
    <xf numFmtId="0" fontId="26" fillId="0" borderId="0" xfId="0" applyFont="1" applyAlignment="1" applyProtection="1">
      <alignment horizontal="center"/>
    </xf>
    <xf numFmtId="0" fontId="10" fillId="0" borderId="4" xfId="0" applyFont="1" applyBorder="1" applyAlignment="1" applyProtection="1">
      <alignment horizontal="center"/>
    </xf>
    <xf numFmtId="0" fontId="10" fillId="0" borderId="0" xfId="0" applyFont="1" applyAlignment="1" applyProtection="1">
      <alignment horizontal="center"/>
    </xf>
    <xf numFmtId="0" fontId="10" fillId="0" borderId="0" xfId="0" applyFont="1" applyBorder="1" applyAlignment="1" applyProtection="1">
      <alignment horizontal="center" wrapText="1"/>
    </xf>
    <xf numFmtId="0" fontId="10" fillId="0" borderId="4" xfId="0" applyFont="1" applyBorder="1" applyAlignment="1" applyProtection="1">
      <alignment horizontal="center" wrapText="1"/>
    </xf>
    <xf numFmtId="0" fontId="0" fillId="0" borderId="0" xfId="0" applyBorder="1" applyAlignment="1" applyProtection="1">
      <alignment horizontal="center"/>
    </xf>
    <xf numFmtId="0" fontId="48" fillId="0" borderId="0" xfId="0" applyFont="1" applyFill="1" applyBorder="1" applyAlignment="1" applyProtection="1">
      <alignment horizontal="center" wrapText="1"/>
      <protection locked="0"/>
    </xf>
    <xf numFmtId="0" fontId="56" fillId="7" borderId="0" xfId="0" applyFont="1" applyFill="1" applyAlignment="1">
      <alignment vertical="center" wrapText="1"/>
    </xf>
    <xf numFmtId="0" fontId="16" fillId="7" borderId="20" xfId="0" applyFont="1" applyFill="1" applyBorder="1" applyAlignment="1" applyProtection="1">
      <alignment vertical="center" wrapText="1"/>
      <protection locked="0"/>
    </xf>
    <xf numFmtId="0" fontId="8" fillId="4" borderId="21" xfId="3" applyFont="1" applyBorder="1" applyAlignment="1" applyProtection="1">
      <alignment horizontal="center"/>
      <protection locked="0"/>
    </xf>
    <xf numFmtId="0" fontId="8" fillId="4" borderId="31" xfId="3" applyFont="1" applyBorder="1" applyAlignment="1" applyProtection="1">
      <alignment horizontal="center"/>
      <protection locked="0"/>
    </xf>
    <xf numFmtId="0" fontId="8" fillId="4" borderId="22" xfId="3" applyFont="1" applyBorder="1" applyAlignment="1" applyProtection="1">
      <alignment horizontal="center"/>
      <protection locked="0"/>
    </xf>
    <xf numFmtId="0" fontId="8" fillId="4" borderId="36" xfId="3" applyFont="1" applyBorder="1" applyAlignment="1" applyProtection="1">
      <alignment horizontal="center"/>
    </xf>
    <xf numFmtId="0" fontId="8" fillId="4" borderId="0" xfId="3" applyFont="1" applyAlignment="1" applyProtection="1">
      <alignment horizontal="center"/>
    </xf>
    <xf numFmtId="0" fontId="5" fillId="2" borderId="36" xfId="1" applyFont="1" applyBorder="1" applyAlignment="1" applyProtection="1">
      <alignment horizontal="center"/>
    </xf>
    <xf numFmtId="0" fontId="5" fillId="2" borderId="0" xfId="1" applyFont="1" applyAlignment="1" applyProtection="1">
      <alignment horizontal="center"/>
    </xf>
    <xf numFmtId="0" fontId="6" fillId="0" borderId="0" xfId="0" applyFont="1" applyAlignment="1" applyProtection="1">
      <alignment horizontal="center" vertical="center" textRotation="90"/>
    </xf>
    <xf numFmtId="0" fontId="8" fillId="6" borderId="21" xfId="5" applyFont="1" applyBorder="1" applyAlignment="1" applyProtection="1">
      <alignment horizontal="center"/>
      <protection locked="0"/>
    </xf>
    <xf numFmtId="0" fontId="8" fillId="6" borderId="31" xfId="5" applyFont="1" applyBorder="1" applyAlignment="1" applyProtection="1">
      <alignment horizontal="center"/>
      <protection locked="0"/>
    </xf>
    <xf numFmtId="0" fontId="8" fillId="6" borderId="22" xfId="5" applyFont="1" applyBorder="1" applyAlignment="1" applyProtection="1">
      <alignment horizontal="center"/>
      <protection locked="0"/>
    </xf>
    <xf numFmtId="0" fontId="8" fillId="6" borderId="36" xfId="5" applyFont="1" applyBorder="1" applyAlignment="1" applyProtection="1">
      <alignment horizontal="center"/>
    </xf>
    <xf numFmtId="0" fontId="8" fillId="6" borderId="0" xfId="5" applyFont="1" applyAlignment="1" applyProtection="1">
      <alignment horizontal="center"/>
    </xf>
    <xf numFmtId="0" fontId="5" fillId="3" borderId="21" xfId="2" applyFont="1" applyBorder="1" applyAlignment="1" applyProtection="1">
      <alignment horizontal="center"/>
      <protection locked="0"/>
    </xf>
    <xf numFmtId="0" fontId="5" fillId="3" borderId="31" xfId="2" applyFont="1" applyBorder="1" applyAlignment="1" applyProtection="1">
      <alignment horizontal="center"/>
      <protection locked="0"/>
    </xf>
    <xf numFmtId="0" fontId="5" fillId="3" borderId="22" xfId="2" applyFont="1" applyBorder="1" applyAlignment="1" applyProtection="1">
      <alignment horizontal="center"/>
      <protection locked="0"/>
    </xf>
    <xf numFmtId="0" fontId="5" fillId="3" borderId="36" xfId="2" applyFont="1" applyBorder="1" applyAlignment="1" applyProtection="1">
      <alignment horizontal="center"/>
    </xf>
    <xf numFmtId="0" fontId="5" fillId="3" borderId="0" xfId="2" applyFont="1" applyAlignment="1" applyProtection="1">
      <alignment horizontal="center"/>
    </xf>
    <xf numFmtId="0" fontId="5" fillId="2" borderId="21" xfId="1" applyFont="1" applyBorder="1" applyAlignment="1" applyProtection="1">
      <alignment horizontal="center"/>
      <protection locked="0"/>
    </xf>
    <xf numFmtId="0" fontId="5" fillId="2" borderId="31" xfId="1" applyFont="1" applyBorder="1" applyAlignment="1" applyProtection="1">
      <alignment horizontal="center"/>
      <protection locked="0"/>
    </xf>
    <xf numFmtId="0" fontId="5" fillId="2" borderId="22" xfId="1" applyFont="1" applyBorder="1" applyAlignment="1" applyProtection="1">
      <alignment horizontal="center"/>
      <protection locked="0"/>
    </xf>
    <xf numFmtId="0" fontId="6" fillId="0" borderId="0" xfId="0" applyFont="1" applyAlignment="1" applyProtection="1">
      <alignment horizontal="center"/>
    </xf>
    <xf numFmtId="0" fontId="40" fillId="14" borderId="0" xfId="0" applyFont="1" applyFill="1" applyAlignment="1">
      <alignment vertical="top" wrapText="1"/>
    </xf>
    <xf numFmtId="0" fontId="40" fillId="0" borderId="0" xfId="0" applyFont="1" applyAlignment="1">
      <alignment horizontal="center" vertical="center" wrapText="1"/>
    </xf>
    <xf numFmtId="0" fontId="40" fillId="14" borderId="0" xfId="0" applyFont="1" applyFill="1" applyAlignment="1">
      <alignment vertical="center" wrapText="1"/>
    </xf>
    <xf numFmtId="0" fontId="40" fillId="15" borderId="0" xfId="0" applyFont="1" applyFill="1" applyAlignment="1">
      <alignment vertical="top" wrapText="1"/>
    </xf>
    <xf numFmtId="0" fontId="40" fillId="14" borderId="0" xfId="0" applyFont="1" applyFill="1" applyAlignment="1">
      <alignment vertical="top" wrapText="1" indent="1"/>
    </xf>
    <xf numFmtId="0" fontId="47" fillId="14" borderId="0" xfId="0" applyFont="1" applyFill="1" applyAlignment="1">
      <alignment vertical="top" wrapText="1" indent="1"/>
    </xf>
    <xf numFmtId="0" fontId="40" fillId="15" borderId="0" xfId="0" applyFont="1" applyFill="1" applyAlignment="1">
      <alignment vertical="top" wrapText="1" indent="1"/>
    </xf>
  </cellXfs>
  <cellStyles count="14">
    <cellStyle name="60% - Accent4" xfId="4" builtinId="44"/>
    <cellStyle name="60% - Accent6" xfId="9" builtinId="52"/>
    <cellStyle name="Accent1" xfId="1" builtinId="29"/>
    <cellStyle name="Accent2" xfId="2" builtinId="33"/>
    <cellStyle name="Accent4" xfId="3" builtinId="41"/>
    <cellStyle name="Accent6" xfId="5" builtinId="49"/>
    <cellStyle name="Calculation" xfId="7" builtinId="22"/>
    <cellStyle name="Explanatory Text" xfId="8" builtinId="53"/>
    <cellStyle name="Good" xfId="11" builtinId="26"/>
    <cellStyle name="Hyperlink" xfId="10" builtinId="8"/>
    <cellStyle name="Neutral" xfId="12" builtinId="28"/>
    <cellStyle name="Normal" xfId="0" builtinId="0"/>
    <cellStyle name="Note" xfId="13" builtinId="10"/>
    <cellStyle name="Title" xfId="6" builtinId="15"/>
  </cellStyles>
  <dxfs count="919">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protection locked="0" hidden="0"/>
    </dxf>
    <dxf>
      <protection locked="0" hidden="0"/>
    </dxf>
    <dxf>
      <protection locked="0" hidden="0"/>
    </dxf>
    <dxf>
      <protection locked="0" hidden="0"/>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strike val="0"/>
        <color theme="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1"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border outline="0">
        <left style="medium">
          <color auto="1"/>
        </left>
      </border>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border diagonalUp="0" diagonalDown="0" outline="0">
        <left/>
        <right/>
        <top style="thin">
          <color auto="1"/>
        </top>
        <bottom style="thin">
          <color auto="1"/>
        </bottom>
      </border>
      <protection locked="1" hidden="0"/>
    </dxf>
    <dxf>
      <font>
        <b/>
        <i val="0"/>
        <strike val="0"/>
        <condense val="0"/>
        <extend val="0"/>
        <outline val="0"/>
        <shadow val="0"/>
        <u val="none"/>
        <vertAlign val="baseline"/>
        <sz val="11"/>
        <color theme="1"/>
        <name val="Calibri"/>
        <scheme val="minor"/>
      </font>
      <border diagonalUp="0" diagonalDown="0" outline="0">
        <left style="thin">
          <color theme="2" tint="-9.9978637043366805E-2"/>
        </left>
        <right/>
        <top style="thin">
          <color auto="1"/>
        </top>
        <bottom style="thin">
          <color auto="1"/>
        </bottom>
      </border>
      <protection locked="1" hidden="0"/>
    </dxf>
    <dxf>
      <protection locked="1" hidden="0"/>
    </dxf>
    <dxf>
      <protection locked="1" hidden="0"/>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0" formatCode="General"/>
      <border diagonalUp="0" diagonalDown="0" outline="0">
        <left style="thin">
          <color indexed="64"/>
        </left>
        <right/>
        <top style="thin">
          <color indexed="64"/>
        </top>
        <bottom style="thin">
          <color indexed="64"/>
        </bottom>
      </border>
      <protection locked="1" hidden="0"/>
    </dxf>
    <dxf>
      <protection locked="1" hidden="0"/>
    </dxf>
    <dxf>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2" defaultPivotStyle="PivotStyleLight16"/>
  <colors>
    <mruColors>
      <color rgb="FF288C3B"/>
      <color rgb="FF000000"/>
      <color rgb="FF006600"/>
      <color rgb="FF0000FF"/>
      <color rgb="FFD60093"/>
      <color rgb="FFCC0000"/>
      <color rgb="FFFF9900"/>
      <color rgb="FF132F49"/>
      <color rgb="FF1F4E79"/>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28575</xdr:colOff>
      <xdr:row>67</xdr:row>
      <xdr:rowOff>9525</xdr:rowOff>
    </xdr:to>
    <xdr:pic>
      <xdr:nvPicPr>
        <xdr:cNvPr id="20"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0391775" cy="1277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600489</xdr:colOff>
      <xdr:row>0</xdr:row>
      <xdr:rowOff>0</xdr:rowOff>
    </xdr:from>
    <xdr:to>
      <xdr:col>33</xdr:col>
      <xdr:colOff>476664</xdr:colOff>
      <xdr:row>66</xdr:row>
      <xdr:rowOff>76200</xdr:rowOff>
    </xdr:to>
    <xdr:pic>
      <xdr:nvPicPr>
        <xdr:cNvPr id="22" name="Picture 2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07098" y="0"/>
          <a:ext cx="10295696" cy="1264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xdr:row>
      <xdr:rowOff>8283</xdr:rowOff>
    </xdr:from>
    <xdr:to>
      <xdr:col>17</xdr:col>
      <xdr:colOff>28575</xdr:colOff>
      <xdr:row>134</xdr:row>
      <xdr:rowOff>36858</xdr:rowOff>
    </xdr:to>
    <xdr:pic>
      <xdr:nvPicPr>
        <xdr:cNvPr id="23" name="Picture 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962283"/>
          <a:ext cx="10448097" cy="1260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12424</xdr:colOff>
      <xdr:row>68</xdr:row>
      <xdr:rowOff>20707</xdr:rowOff>
    </xdr:from>
    <xdr:to>
      <xdr:col>33</xdr:col>
      <xdr:colOff>460099</xdr:colOff>
      <xdr:row>135</xdr:row>
      <xdr:rowOff>58807</xdr:rowOff>
    </xdr:to>
    <xdr:pic>
      <xdr:nvPicPr>
        <xdr:cNvPr id="24" name="Picture 2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31946" y="12974707"/>
          <a:ext cx="10254283" cy="1280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135</xdr:row>
      <xdr:rowOff>186358</xdr:rowOff>
    </xdr:from>
    <xdr:to>
      <xdr:col>17</xdr:col>
      <xdr:colOff>28575</xdr:colOff>
      <xdr:row>202</xdr:row>
      <xdr:rowOff>176833</xdr:rowOff>
    </xdr:to>
    <xdr:pic>
      <xdr:nvPicPr>
        <xdr:cNvPr id="25" name="Picture 2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5903858"/>
          <a:ext cx="10448097" cy="1275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451402</xdr:colOff>
      <xdr:row>135</xdr:row>
      <xdr:rowOff>186359</xdr:rowOff>
    </xdr:from>
    <xdr:to>
      <xdr:col>33</xdr:col>
      <xdr:colOff>327577</xdr:colOff>
      <xdr:row>203</xdr:row>
      <xdr:rowOff>14909</xdr:rowOff>
    </xdr:to>
    <xdr:pic>
      <xdr:nvPicPr>
        <xdr:cNvPr id="26" name="Picture 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58011" y="25903859"/>
          <a:ext cx="10295696" cy="12782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xdr:row>
      <xdr:rowOff>41413</xdr:rowOff>
    </xdr:from>
    <xdr:to>
      <xdr:col>16</xdr:col>
      <xdr:colOff>523875</xdr:colOff>
      <xdr:row>271</xdr:row>
      <xdr:rowOff>69988</xdr:rowOff>
    </xdr:to>
    <xdr:pic>
      <xdr:nvPicPr>
        <xdr:cNvPr id="28" name="Picture 2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38903413"/>
          <a:ext cx="10330484" cy="12792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488674</xdr:colOff>
      <xdr:row>204</xdr:row>
      <xdr:rowOff>16565</xdr:rowOff>
    </xdr:from>
    <xdr:to>
      <xdr:col>33</xdr:col>
      <xdr:colOff>364849</xdr:colOff>
      <xdr:row>236</xdr:row>
      <xdr:rowOff>111815</xdr:rowOff>
    </xdr:to>
    <xdr:pic>
      <xdr:nvPicPr>
        <xdr:cNvPr id="29" name="Picture 2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95283" y="38878565"/>
          <a:ext cx="10295696" cy="619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164623</xdr:rowOff>
    </xdr:from>
    <xdr:ext cx="10020781" cy="11306676"/>
    <xdr:pic>
      <xdr:nvPicPr>
        <xdr:cNvPr id="2" name="Picture 1"/>
        <xdr:cNvPicPr>
          <a:picLocks noChangeAspect="1"/>
        </xdr:cNvPicPr>
      </xdr:nvPicPr>
      <xdr:blipFill rotWithShape="1">
        <a:blip xmlns:r="http://schemas.openxmlformats.org/officeDocument/2006/relationships" r:embed="rId1"/>
        <a:srcRect l="13058" t="11921" r="9362" b="20042"/>
        <a:stretch/>
      </xdr:blipFill>
      <xdr:spPr>
        <a:xfrm>
          <a:off x="0" y="164623"/>
          <a:ext cx="10020781" cy="11306676"/>
        </a:xfrm>
        <a:prstGeom prst="rect">
          <a:avLst/>
        </a:prstGeom>
      </xdr:spPr>
    </xdr:pic>
    <xdr:clientData/>
  </xdr:oneCellAnchor>
  <xdr:oneCellAnchor>
    <xdr:from>
      <xdr:col>17</xdr:col>
      <xdr:colOff>270622</xdr:colOff>
      <xdr:row>0</xdr:row>
      <xdr:rowOff>148440</xdr:rowOff>
    </xdr:from>
    <xdr:ext cx="9028661" cy="11647284"/>
    <xdr:pic>
      <xdr:nvPicPr>
        <xdr:cNvPr id="3" name="Picture 2"/>
        <xdr:cNvPicPr>
          <a:picLocks noChangeAspect="1"/>
        </xdr:cNvPicPr>
      </xdr:nvPicPr>
      <xdr:blipFill rotWithShape="1">
        <a:blip xmlns:r="http://schemas.openxmlformats.org/officeDocument/2006/relationships" r:embed="rId2"/>
        <a:srcRect l="7354" t="7711" r="4224" b="4209"/>
        <a:stretch/>
      </xdr:blipFill>
      <xdr:spPr>
        <a:xfrm>
          <a:off x="10633822" y="148440"/>
          <a:ext cx="9028661" cy="11647284"/>
        </a:xfrm>
        <a:prstGeom prst="rect">
          <a:avLst/>
        </a:prstGeom>
      </xdr:spPr>
    </xdr:pic>
    <xdr:clientData/>
  </xdr:oneCellAnchor>
  <xdr:oneCellAnchor>
    <xdr:from>
      <xdr:col>35</xdr:col>
      <xdr:colOff>145190</xdr:colOff>
      <xdr:row>0</xdr:row>
      <xdr:rowOff>0</xdr:rowOff>
    </xdr:from>
    <xdr:ext cx="10533525" cy="12065825"/>
    <xdr:pic>
      <xdr:nvPicPr>
        <xdr:cNvPr id="4" name="Picture 3"/>
        <xdr:cNvPicPr>
          <a:picLocks noChangeAspect="1"/>
        </xdr:cNvPicPr>
      </xdr:nvPicPr>
      <xdr:blipFill rotWithShape="1">
        <a:blip xmlns:r="http://schemas.openxmlformats.org/officeDocument/2006/relationships" r:embed="rId3"/>
        <a:srcRect l="5252" t="7306" r="6151" b="13950"/>
        <a:stretch/>
      </xdr:blipFill>
      <xdr:spPr>
        <a:xfrm>
          <a:off x="21481190" y="0"/>
          <a:ext cx="10533525" cy="12065825"/>
        </a:xfrm>
        <a:prstGeom prst="rect">
          <a:avLst/>
        </a:prstGeom>
      </xdr:spPr>
    </xdr:pic>
    <xdr:clientData/>
  </xdr:oneCellAnchor>
  <xdr:twoCellAnchor>
    <xdr:from>
      <xdr:col>0</xdr:col>
      <xdr:colOff>129110</xdr:colOff>
      <xdr:row>24</xdr:row>
      <xdr:rowOff>121226</xdr:rowOff>
    </xdr:from>
    <xdr:to>
      <xdr:col>5</xdr:col>
      <xdr:colOff>6644</xdr:colOff>
      <xdr:row>25</xdr:row>
      <xdr:rowOff>134834</xdr:rowOff>
    </xdr:to>
    <xdr:sp macro="" textlink="">
      <xdr:nvSpPr>
        <xdr:cNvPr id="5" name="Rectangle 4"/>
        <xdr:cNvSpPr/>
      </xdr:nvSpPr>
      <xdr:spPr>
        <a:xfrm>
          <a:off x="129110" y="4693226"/>
          <a:ext cx="2925534" cy="20410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118225</xdr:colOff>
      <xdr:row>27</xdr:row>
      <xdr:rowOff>137555</xdr:rowOff>
    </xdr:from>
    <xdr:to>
      <xdr:col>7</xdr:col>
      <xdr:colOff>420302</xdr:colOff>
      <xdr:row>28</xdr:row>
      <xdr:rowOff>148440</xdr:rowOff>
    </xdr:to>
    <xdr:sp macro="" textlink="">
      <xdr:nvSpPr>
        <xdr:cNvPr id="6" name="Rectangle 5"/>
        <xdr:cNvSpPr/>
      </xdr:nvSpPr>
      <xdr:spPr>
        <a:xfrm>
          <a:off x="118225" y="5281055"/>
          <a:ext cx="456927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77155</xdr:colOff>
      <xdr:row>25</xdr:row>
      <xdr:rowOff>143986</xdr:rowOff>
    </xdr:from>
    <xdr:to>
      <xdr:col>15</xdr:col>
      <xdr:colOff>172405</xdr:colOff>
      <xdr:row>26</xdr:row>
      <xdr:rowOff>165757</xdr:rowOff>
    </xdr:to>
    <xdr:sp macro="" textlink="">
      <xdr:nvSpPr>
        <xdr:cNvPr id="7" name="Rectangle 6"/>
        <xdr:cNvSpPr/>
      </xdr:nvSpPr>
      <xdr:spPr>
        <a:xfrm>
          <a:off x="4953955" y="4906486"/>
          <a:ext cx="4362450" cy="212271"/>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118224</xdr:colOff>
      <xdr:row>35</xdr:row>
      <xdr:rowOff>92280</xdr:rowOff>
    </xdr:from>
    <xdr:to>
      <xdr:col>15</xdr:col>
      <xdr:colOff>374038</xdr:colOff>
      <xdr:row>36</xdr:row>
      <xdr:rowOff>84115</xdr:rowOff>
    </xdr:to>
    <xdr:sp macro="" textlink="">
      <xdr:nvSpPr>
        <xdr:cNvPr id="8" name="Rectangle 7"/>
        <xdr:cNvSpPr/>
      </xdr:nvSpPr>
      <xdr:spPr>
        <a:xfrm>
          <a:off x="4995024" y="6759780"/>
          <a:ext cx="452301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191455</xdr:colOff>
      <xdr:row>27</xdr:row>
      <xdr:rowOff>135823</xdr:rowOff>
    </xdr:from>
    <xdr:to>
      <xdr:col>12</xdr:col>
      <xdr:colOff>528170</xdr:colOff>
      <xdr:row>28</xdr:row>
      <xdr:rowOff>152151</xdr:rowOff>
    </xdr:to>
    <xdr:sp macro="" textlink="">
      <xdr:nvSpPr>
        <xdr:cNvPr id="9" name="Rectangle 8"/>
        <xdr:cNvSpPr/>
      </xdr:nvSpPr>
      <xdr:spPr>
        <a:xfrm>
          <a:off x="5068255" y="5279323"/>
          <a:ext cx="2775115" cy="20682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101895</xdr:colOff>
      <xdr:row>26</xdr:row>
      <xdr:rowOff>25976</xdr:rowOff>
    </xdr:from>
    <xdr:to>
      <xdr:col>6</xdr:col>
      <xdr:colOff>244769</xdr:colOff>
      <xdr:row>26</xdr:row>
      <xdr:rowOff>25976</xdr:rowOff>
    </xdr:to>
    <xdr:cxnSp macro="">
      <xdr:nvCxnSpPr>
        <xdr:cNvPr id="10" name="Straight Connector 9"/>
        <xdr:cNvCxnSpPr/>
      </xdr:nvCxnSpPr>
      <xdr:spPr>
        <a:xfrm>
          <a:off x="101895" y="4978976"/>
          <a:ext cx="3800474"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145350</xdr:colOff>
      <xdr:row>28</xdr:row>
      <xdr:rowOff>158809</xdr:rowOff>
    </xdr:from>
    <xdr:to>
      <xdr:col>12</xdr:col>
      <xdr:colOff>473742</xdr:colOff>
      <xdr:row>29</xdr:row>
      <xdr:rowOff>179365</xdr:rowOff>
    </xdr:to>
    <xdr:sp macro="" textlink="">
      <xdr:nvSpPr>
        <xdr:cNvPr id="11" name="Rectangle 10"/>
        <xdr:cNvSpPr/>
      </xdr:nvSpPr>
      <xdr:spPr>
        <a:xfrm>
          <a:off x="5022150" y="5492809"/>
          <a:ext cx="2766792" cy="21105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110060</xdr:colOff>
      <xdr:row>36</xdr:row>
      <xdr:rowOff>74962</xdr:rowOff>
    </xdr:from>
    <xdr:to>
      <xdr:col>5</xdr:col>
      <xdr:colOff>387644</xdr:colOff>
      <xdr:row>37</xdr:row>
      <xdr:rowOff>66797</xdr:rowOff>
    </xdr:to>
    <xdr:sp macro="" textlink="">
      <xdr:nvSpPr>
        <xdr:cNvPr id="12" name="Rectangle 11"/>
        <xdr:cNvSpPr/>
      </xdr:nvSpPr>
      <xdr:spPr>
        <a:xfrm>
          <a:off x="110060" y="6932962"/>
          <a:ext cx="332558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117976</xdr:colOff>
      <xdr:row>24</xdr:row>
      <xdr:rowOff>157593</xdr:rowOff>
    </xdr:from>
    <xdr:to>
      <xdr:col>15</xdr:col>
      <xdr:colOff>134303</xdr:colOff>
      <xdr:row>25</xdr:row>
      <xdr:rowOff>168478</xdr:rowOff>
    </xdr:to>
    <xdr:sp macro="" textlink="">
      <xdr:nvSpPr>
        <xdr:cNvPr id="13" name="Rectangle 12"/>
        <xdr:cNvSpPr/>
      </xdr:nvSpPr>
      <xdr:spPr>
        <a:xfrm>
          <a:off x="4994776" y="472959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104617</xdr:colOff>
      <xdr:row>27</xdr:row>
      <xdr:rowOff>55911</xdr:rowOff>
    </xdr:from>
    <xdr:to>
      <xdr:col>6</xdr:col>
      <xdr:colOff>257016</xdr:colOff>
      <xdr:row>27</xdr:row>
      <xdr:rowOff>55911</xdr:rowOff>
    </xdr:to>
    <xdr:cxnSp macro="">
      <xdr:nvCxnSpPr>
        <xdr:cNvPr id="14" name="Straight Connector 13"/>
        <xdr:cNvCxnSpPr/>
      </xdr:nvCxnSpPr>
      <xdr:spPr>
        <a:xfrm>
          <a:off x="104617" y="5199411"/>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104370</xdr:colOff>
      <xdr:row>27</xdr:row>
      <xdr:rowOff>75950</xdr:rowOff>
    </xdr:from>
    <xdr:to>
      <xdr:col>13</xdr:col>
      <xdr:colOff>577156</xdr:colOff>
      <xdr:row>27</xdr:row>
      <xdr:rowOff>75950</xdr:rowOff>
    </xdr:to>
    <xdr:cxnSp macro="">
      <xdr:nvCxnSpPr>
        <xdr:cNvPr id="15" name="Straight Connector 14"/>
        <xdr:cNvCxnSpPr/>
      </xdr:nvCxnSpPr>
      <xdr:spPr>
        <a:xfrm>
          <a:off x="4981170" y="5219450"/>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175128</xdr:colOff>
      <xdr:row>45</xdr:row>
      <xdr:rowOff>126915</xdr:rowOff>
    </xdr:from>
    <xdr:to>
      <xdr:col>14</xdr:col>
      <xdr:colOff>41778</xdr:colOff>
      <xdr:row>45</xdr:row>
      <xdr:rowOff>126915</xdr:rowOff>
    </xdr:to>
    <xdr:cxnSp macro="">
      <xdr:nvCxnSpPr>
        <xdr:cNvPr id="16" name="Straight Connector 15"/>
        <xdr:cNvCxnSpPr/>
      </xdr:nvCxnSpPr>
      <xdr:spPr>
        <a:xfrm>
          <a:off x="5051928" y="8699415"/>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112782</xdr:colOff>
      <xdr:row>46</xdr:row>
      <xdr:rowOff>153140</xdr:rowOff>
    </xdr:from>
    <xdr:to>
      <xdr:col>6</xdr:col>
      <xdr:colOff>265181</xdr:colOff>
      <xdr:row>46</xdr:row>
      <xdr:rowOff>153140</xdr:rowOff>
    </xdr:to>
    <xdr:cxnSp macro="">
      <xdr:nvCxnSpPr>
        <xdr:cNvPr id="17" name="Straight Connector 16"/>
        <xdr:cNvCxnSpPr/>
      </xdr:nvCxnSpPr>
      <xdr:spPr>
        <a:xfrm>
          <a:off x="112782" y="8916140"/>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132328</xdr:colOff>
      <xdr:row>46</xdr:row>
      <xdr:rowOff>142254</xdr:rowOff>
    </xdr:from>
    <xdr:to>
      <xdr:col>13</xdr:col>
      <xdr:colOff>605114</xdr:colOff>
      <xdr:row>46</xdr:row>
      <xdr:rowOff>142254</xdr:rowOff>
    </xdr:to>
    <xdr:cxnSp macro="">
      <xdr:nvCxnSpPr>
        <xdr:cNvPr id="18" name="Straight Connector 17"/>
        <xdr:cNvCxnSpPr/>
      </xdr:nvCxnSpPr>
      <xdr:spPr>
        <a:xfrm>
          <a:off x="5009128" y="8905254"/>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188735</xdr:colOff>
      <xdr:row>37</xdr:row>
      <xdr:rowOff>173921</xdr:rowOff>
    </xdr:from>
    <xdr:to>
      <xdr:col>14</xdr:col>
      <xdr:colOff>55385</xdr:colOff>
      <xdr:row>37</xdr:row>
      <xdr:rowOff>173921</xdr:rowOff>
    </xdr:to>
    <xdr:cxnSp macro="">
      <xdr:nvCxnSpPr>
        <xdr:cNvPr id="19" name="Straight Connector 18"/>
        <xdr:cNvCxnSpPr/>
      </xdr:nvCxnSpPr>
      <xdr:spPr>
        <a:xfrm>
          <a:off x="5065535" y="7222421"/>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126389</xdr:colOff>
      <xdr:row>37</xdr:row>
      <xdr:rowOff>172933</xdr:rowOff>
    </xdr:from>
    <xdr:to>
      <xdr:col>6</xdr:col>
      <xdr:colOff>278788</xdr:colOff>
      <xdr:row>37</xdr:row>
      <xdr:rowOff>172933</xdr:rowOff>
    </xdr:to>
    <xdr:cxnSp macro="">
      <xdr:nvCxnSpPr>
        <xdr:cNvPr id="20" name="Straight Connector 19"/>
        <xdr:cNvCxnSpPr/>
      </xdr:nvCxnSpPr>
      <xdr:spPr>
        <a:xfrm>
          <a:off x="126389" y="7221433"/>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88288</xdr:colOff>
      <xdr:row>33</xdr:row>
      <xdr:rowOff>25976</xdr:rowOff>
    </xdr:from>
    <xdr:to>
      <xdr:col>8</xdr:col>
      <xdr:colOff>69237</xdr:colOff>
      <xdr:row>34</xdr:row>
      <xdr:rowOff>39583</xdr:rowOff>
    </xdr:to>
    <xdr:sp macro="" textlink="">
      <xdr:nvSpPr>
        <xdr:cNvPr id="21" name="Rectangle 20"/>
        <xdr:cNvSpPr/>
      </xdr:nvSpPr>
      <xdr:spPr>
        <a:xfrm>
          <a:off x="88288" y="6312476"/>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50188</xdr:colOff>
      <xdr:row>35</xdr:row>
      <xdr:rowOff>55911</xdr:rowOff>
    </xdr:from>
    <xdr:to>
      <xdr:col>8</xdr:col>
      <xdr:colOff>31137</xdr:colOff>
      <xdr:row>36</xdr:row>
      <xdr:rowOff>69518</xdr:rowOff>
    </xdr:to>
    <xdr:sp macro="" textlink="">
      <xdr:nvSpPr>
        <xdr:cNvPr id="22" name="Rectangle 21"/>
        <xdr:cNvSpPr/>
      </xdr:nvSpPr>
      <xdr:spPr>
        <a:xfrm>
          <a:off x="50188" y="6723411"/>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194175</xdr:colOff>
      <xdr:row>10</xdr:row>
      <xdr:rowOff>147203</xdr:rowOff>
    </xdr:from>
    <xdr:to>
      <xdr:col>31</xdr:col>
      <xdr:colOff>483215</xdr:colOff>
      <xdr:row>12</xdr:row>
      <xdr:rowOff>14770</xdr:rowOff>
    </xdr:to>
    <xdr:sp macro="" textlink="">
      <xdr:nvSpPr>
        <xdr:cNvPr id="23" name="Rectangle 22"/>
        <xdr:cNvSpPr/>
      </xdr:nvSpPr>
      <xdr:spPr>
        <a:xfrm>
          <a:off x="11166975" y="2052203"/>
          <a:ext cx="8213840" cy="24856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263448</xdr:colOff>
      <xdr:row>12</xdr:row>
      <xdr:rowOff>77931</xdr:rowOff>
    </xdr:from>
    <xdr:to>
      <xdr:col>24</xdr:col>
      <xdr:colOff>183291</xdr:colOff>
      <xdr:row>12</xdr:row>
      <xdr:rowOff>77931</xdr:rowOff>
    </xdr:to>
    <xdr:cxnSp macro="">
      <xdr:nvCxnSpPr>
        <xdr:cNvPr id="24" name="Straight Connector 23"/>
        <xdr:cNvCxnSpPr/>
      </xdr:nvCxnSpPr>
      <xdr:spPr>
        <a:xfrm>
          <a:off x="11236248" y="23639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415848</xdr:colOff>
      <xdr:row>13</xdr:row>
      <xdr:rowOff>39831</xdr:rowOff>
    </xdr:from>
    <xdr:to>
      <xdr:col>24</xdr:col>
      <xdr:colOff>335691</xdr:colOff>
      <xdr:row>13</xdr:row>
      <xdr:rowOff>39831</xdr:rowOff>
    </xdr:to>
    <xdr:cxnSp macro="">
      <xdr:nvCxnSpPr>
        <xdr:cNvPr id="25" name="Straight Connector 24"/>
        <xdr:cNvCxnSpPr/>
      </xdr:nvCxnSpPr>
      <xdr:spPr>
        <a:xfrm>
          <a:off x="11388648" y="25163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260232</xdr:colOff>
      <xdr:row>14</xdr:row>
      <xdr:rowOff>69767</xdr:rowOff>
    </xdr:from>
    <xdr:to>
      <xdr:col>24</xdr:col>
      <xdr:colOff>194919</xdr:colOff>
      <xdr:row>14</xdr:row>
      <xdr:rowOff>69767</xdr:rowOff>
    </xdr:to>
    <xdr:cxnSp macro="">
      <xdr:nvCxnSpPr>
        <xdr:cNvPr id="26" name="Straight Connector 25"/>
        <xdr:cNvCxnSpPr/>
      </xdr:nvCxnSpPr>
      <xdr:spPr>
        <a:xfrm>
          <a:off x="11233032" y="2736767"/>
          <a:ext cx="3592287"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228812</xdr:colOff>
      <xdr:row>14</xdr:row>
      <xdr:rowOff>147203</xdr:rowOff>
    </xdr:from>
    <xdr:to>
      <xdr:col>24</xdr:col>
      <xdr:colOff>257657</xdr:colOff>
      <xdr:row>15</xdr:row>
      <xdr:rowOff>149240</xdr:rowOff>
    </xdr:to>
    <xdr:sp macro="" textlink="">
      <xdr:nvSpPr>
        <xdr:cNvPr id="27" name="Rectangle 26"/>
        <xdr:cNvSpPr/>
      </xdr:nvSpPr>
      <xdr:spPr>
        <a:xfrm>
          <a:off x="11201612" y="2814203"/>
          <a:ext cx="3686445" cy="19253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176856</xdr:colOff>
      <xdr:row>15</xdr:row>
      <xdr:rowOff>147203</xdr:rowOff>
    </xdr:from>
    <xdr:to>
      <xdr:col>24</xdr:col>
      <xdr:colOff>257656</xdr:colOff>
      <xdr:row>16</xdr:row>
      <xdr:rowOff>160446</xdr:rowOff>
    </xdr:to>
    <xdr:sp macro="" textlink="">
      <xdr:nvSpPr>
        <xdr:cNvPr id="28" name="Rectangle 27"/>
        <xdr:cNvSpPr/>
      </xdr:nvSpPr>
      <xdr:spPr>
        <a:xfrm>
          <a:off x="11149656" y="3004703"/>
          <a:ext cx="3738400" cy="203743"/>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443471</xdr:colOff>
      <xdr:row>12</xdr:row>
      <xdr:rowOff>83023</xdr:rowOff>
    </xdr:from>
    <xdr:to>
      <xdr:col>28</xdr:col>
      <xdr:colOff>85247</xdr:colOff>
      <xdr:row>12</xdr:row>
      <xdr:rowOff>89950</xdr:rowOff>
    </xdr:to>
    <xdr:cxnSp macro="">
      <xdr:nvCxnSpPr>
        <xdr:cNvPr id="29" name="Straight Connector 28"/>
        <xdr:cNvCxnSpPr/>
      </xdr:nvCxnSpPr>
      <xdr:spPr>
        <a:xfrm flipV="1">
          <a:off x="15683471" y="2369023"/>
          <a:ext cx="1470576" cy="6927"/>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333244</xdr:colOff>
      <xdr:row>15</xdr:row>
      <xdr:rowOff>161059</xdr:rowOff>
    </xdr:from>
    <xdr:to>
      <xdr:col>31</xdr:col>
      <xdr:colOff>436353</xdr:colOff>
      <xdr:row>16</xdr:row>
      <xdr:rowOff>160447</xdr:rowOff>
    </xdr:to>
    <xdr:sp macro="" textlink="">
      <xdr:nvSpPr>
        <xdr:cNvPr id="30" name="Rectangle 29"/>
        <xdr:cNvSpPr/>
      </xdr:nvSpPr>
      <xdr:spPr>
        <a:xfrm>
          <a:off x="15573244" y="3018559"/>
          <a:ext cx="3760709" cy="189888"/>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374737</xdr:colOff>
      <xdr:row>20</xdr:row>
      <xdr:rowOff>52871</xdr:rowOff>
    </xdr:from>
    <xdr:to>
      <xdr:col>31</xdr:col>
      <xdr:colOff>516759</xdr:colOff>
      <xdr:row>20</xdr:row>
      <xdr:rowOff>66725</xdr:rowOff>
    </xdr:to>
    <xdr:cxnSp macro="">
      <xdr:nvCxnSpPr>
        <xdr:cNvPr id="31" name="Straight Connector 30"/>
        <xdr:cNvCxnSpPr/>
      </xdr:nvCxnSpPr>
      <xdr:spPr>
        <a:xfrm>
          <a:off x="15614737" y="3862871"/>
          <a:ext cx="3799622" cy="13854"/>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208029</xdr:colOff>
      <xdr:row>23</xdr:row>
      <xdr:rowOff>91786</xdr:rowOff>
    </xdr:from>
    <xdr:to>
      <xdr:col>24</xdr:col>
      <xdr:colOff>190421</xdr:colOff>
      <xdr:row>24</xdr:row>
      <xdr:rowOff>82005</xdr:rowOff>
    </xdr:to>
    <xdr:sp macro="" textlink="">
      <xdr:nvSpPr>
        <xdr:cNvPr id="32" name="Rectangle 31"/>
        <xdr:cNvSpPr/>
      </xdr:nvSpPr>
      <xdr:spPr>
        <a:xfrm>
          <a:off x="11180829" y="4473286"/>
          <a:ext cx="3639992" cy="180719"/>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204566</xdr:colOff>
      <xdr:row>24</xdr:row>
      <xdr:rowOff>105640</xdr:rowOff>
    </xdr:from>
    <xdr:to>
      <xdr:col>24</xdr:col>
      <xdr:colOff>257656</xdr:colOff>
      <xdr:row>25</xdr:row>
      <xdr:rowOff>93211</xdr:rowOff>
    </xdr:to>
    <xdr:sp macro="" textlink="">
      <xdr:nvSpPr>
        <xdr:cNvPr id="33" name="Rectangle 32"/>
        <xdr:cNvSpPr/>
      </xdr:nvSpPr>
      <xdr:spPr>
        <a:xfrm>
          <a:off x="11177366" y="4677640"/>
          <a:ext cx="3710690" cy="17807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235740</xdr:colOff>
      <xdr:row>26</xdr:row>
      <xdr:rowOff>119495</xdr:rowOff>
    </xdr:from>
    <xdr:to>
      <xdr:col>24</xdr:col>
      <xdr:colOff>280069</xdr:colOff>
      <xdr:row>27</xdr:row>
      <xdr:rowOff>126829</xdr:rowOff>
    </xdr:to>
    <xdr:sp macro="" textlink="">
      <xdr:nvSpPr>
        <xdr:cNvPr id="34" name="Rectangle 33"/>
        <xdr:cNvSpPr/>
      </xdr:nvSpPr>
      <xdr:spPr>
        <a:xfrm>
          <a:off x="11208540" y="5072495"/>
          <a:ext cx="3701929" cy="19783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197640</xdr:colOff>
      <xdr:row>27</xdr:row>
      <xdr:rowOff>133349</xdr:rowOff>
    </xdr:from>
    <xdr:to>
      <xdr:col>24</xdr:col>
      <xdr:colOff>280069</xdr:colOff>
      <xdr:row>28</xdr:row>
      <xdr:rowOff>115623</xdr:rowOff>
    </xdr:to>
    <xdr:sp macro="" textlink="">
      <xdr:nvSpPr>
        <xdr:cNvPr id="35" name="Rectangle 34"/>
        <xdr:cNvSpPr/>
      </xdr:nvSpPr>
      <xdr:spPr>
        <a:xfrm>
          <a:off x="11170440" y="5276849"/>
          <a:ext cx="3740029" cy="17277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228813</xdr:colOff>
      <xdr:row>29</xdr:row>
      <xdr:rowOff>95249</xdr:rowOff>
    </xdr:from>
    <xdr:to>
      <xdr:col>24</xdr:col>
      <xdr:colOff>369716</xdr:colOff>
      <xdr:row>31</xdr:row>
      <xdr:rowOff>93211</xdr:rowOff>
    </xdr:to>
    <xdr:sp macro="" textlink="">
      <xdr:nvSpPr>
        <xdr:cNvPr id="36" name="Rectangle 35"/>
        <xdr:cNvSpPr/>
      </xdr:nvSpPr>
      <xdr:spPr>
        <a:xfrm>
          <a:off x="11201613" y="5619749"/>
          <a:ext cx="3798503" cy="378962"/>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360139</xdr:colOff>
      <xdr:row>26</xdr:row>
      <xdr:rowOff>89138</xdr:rowOff>
    </xdr:from>
    <xdr:to>
      <xdr:col>31</xdr:col>
      <xdr:colOff>91010</xdr:colOff>
      <xdr:row>27</xdr:row>
      <xdr:rowOff>89138</xdr:rowOff>
    </xdr:to>
    <xdr:sp macro="" textlink="">
      <xdr:nvSpPr>
        <xdr:cNvPr id="37" name="Rectangle 36"/>
        <xdr:cNvSpPr/>
      </xdr:nvSpPr>
      <xdr:spPr>
        <a:xfrm>
          <a:off x="15600139" y="5042138"/>
          <a:ext cx="3388471" cy="190500"/>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437155</xdr:colOff>
      <xdr:row>27</xdr:row>
      <xdr:rowOff>79560</xdr:rowOff>
    </xdr:from>
    <xdr:to>
      <xdr:col>31</xdr:col>
      <xdr:colOff>168026</xdr:colOff>
      <xdr:row>29</xdr:row>
      <xdr:rowOff>65705</xdr:rowOff>
    </xdr:to>
    <xdr:sp macro="" textlink="">
      <xdr:nvSpPr>
        <xdr:cNvPr id="38" name="Rectangle 37"/>
        <xdr:cNvSpPr/>
      </xdr:nvSpPr>
      <xdr:spPr>
        <a:xfrm>
          <a:off x="15677155" y="5223060"/>
          <a:ext cx="3388471" cy="367145"/>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436137</xdr:colOff>
      <xdr:row>29</xdr:row>
      <xdr:rowOff>97896</xdr:rowOff>
    </xdr:from>
    <xdr:to>
      <xdr:col>31</xdr:col>
      <xdr:colOff>167008</xdr:colOff>
      <xdr:row>31</xdr:row>
      <xdr:rowOff>135997</xdr:rowOff>
    </xdr:to>
    <xdr:sp macro="" textlink="">
      <xdr:nvSpPr>
        <xdr:cNvPr id="39" name="Rectangle 38"/>
        <xdr:cNvSpPr/>
      </xdr:nvSpPr>
      <xdr:spPr>
        <a:xfrm>
          <a:off x="15676137" y="5622396"/>
          <a:ext cx="3388471" cy="41910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497988</xdr:colOff>
      <xdr:row>25</xdr:row>
      <xdr:rowOff>95249</xdr:rowOff>
    </xdr:from>
    <xdr:to>
      <xdr:col>43</xdr:col>
      <xdr:colOff>274582</xdr:colOff>
      <xdr:row>25</xdr:row>
      <xdr:rowOff>112567</xdr:rowOff>
    </xdr:to>
    <xdr:cxnSp macro="">
      <xdr:nvCxnSpPr>
        <xdr:cNvPr id="40" name="Straight Connector 39"/>
        <xdr:cNvCxnSpPr/>
      </xdr:nvCxnSpPr>
      <xdr:spPr>
        <a:xfrm flipV="1">
          <a:off x="22443588" y="4857749"/>
          <a:ext cx="4043794" cy="17318"/>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103380</xdr:colOff>
      <xdr:row>31</xdr:row>
      <xdr:rowOff>5194</xdr:rowOff>
    </xdr:from>
    <xdr:to>
      <xdr:col>51</xdr:col>
      <xdr:colOff>400262</xdr:colOff>
      <xdr:row>32</xdr:row>
      <xdr:rowOff>8658</xdr:rowOff>
    </xdr:to>
    <xdr:sp macro="" textlink="">
      <xdr:nvSpPr>
        <xdr:cNvPr id="41" name="Rectangle 40"/>
        <xdr:cNvSpPr/>
      </xdr:nvSpPr>
      <xdr:spPr>
        <a:xfrm>
          <a:off x="27535380" y="5910694"/>
          <a:ext cx="3954482" cy="19396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172653</xdr:colOff>
      <xdr:row>29</xdr:row>
      <xdr:rowOff>55911</xdr:rowOff>
    </xdr:from>
    <xdr:to>
      <xdr:col>6</xdr:col>
      <xdr:colOff>325053</xdr:colOff>
      <xdr:row>29</xdr:row>
      <xdr:rowOff>55911</xdr:rowOff>
    </xdr:to>
    <xdr:cxnSp macro="">
      <xdr:nvCxnSpPr>
        <xdr:cNvPr id="42" name="Straight Connector 41"/>
        <xdr:cNvCxnSpPr/>
      </xdr:nvCxnSpPr>
      <xdr:spPr>
        <a:xfrm>
          <a:off x="172653" y="5580411"/>
          <a:ext cx="381000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95250</xdr:colOff>
      <xdr:row>33</xdr:row>
      <xdr:rowOff>27214</xdr:rowOff>
    </xdr:from>
    <xdr:to>
      <xdr:col>15</xdr:col>
      <xdr:colOff>111577</xdr:colOff>
      <xdr:row>34</xdr:row>
      <xdr:rowOff>38099</xdr:rowOff>
    </xdr:to>
    <xdr:sp macro="" textlink="">
      <xdr:nvSpPr>
        <xdr:cNvPr id="43" name="Rectangle 42"/>
        <xdr:cNvSpPr/>
      </xdr:nvSpPr>
      <xdr:spPr>
        <a:xfrm>
          <a:off x="4972050" y="631371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111579</xdr:colOff>
      <xdr:row>36</xdr:row>
      <xdr:rowOff>70756</xdr:rowOff>
    </xdr:from>
    <xdr:to>
      <xdr:col>15</xdr:col>
      <xdr:colOff>127906</xdr:colOff>
      <xdr:row>37</xdr:row>
      <xdr:rowOff>81641</xdr:rowOff>
    </xdr:to>
    <xdr:sp macro="" textlink="">
      <xdr:nvSpPr>
        <xdr:cNvPr id="44" name="Rectangle 43"/>
        <xdr:cNvSpPr/>
      </xdr:nvSpPr>
      <xdr:spPr>
        <a:xfrm>
          <a:off x="4988379" y="692875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195943</xdr:colOff>
      <xdr:row>44</xdr:row>
      <xdr:rowOff>5441</xdr:rowOff>
    </xdr:from>
    <xdr:to>
      <xdr:col>7</xdr:col>
      <xdr:colOff>212270</xdr:colOff>
      <xdr:row>45</xdr:row>
      <xdr:rowOff>16326</xdr:rowOff>
    </xdr:to>
    <xdr:sp macro="" textlink="">
      <xdr:nvSpPr>
        <xdr:cNvPr id="45" name="Rectangle 44"/>
        <xdr:cNvSpPr/>
      </xdr:nvSpPr>
      <xdr:spPr>
        <a:xfrm>
          <a:off x="195943" y="8387441"/>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76201</xdr:colOff>
      <xdr:row>34</xdr:row>
      <xdr:rowOff>76198</xdr:rowOff>
    </xdr:from>
    <xdr:to>
      <xdr:col>7</xdr:col>
      <xdr:colOff>92528</xdr:colOff>
      <xdr:row>35</xdr:row>
      <xdr:rowOff>87083</xdr:rowOff>
    </xdr:to>
    <xdr:sp macro="" textlink="">
      <xdr:nvSpPr>
        <xdr:cNvPr id="46" name="Rectangle 45"/>
        <xdr:cNvSpPr/>
      </xdr:nvSpPr>
      <xdr:spPr>
        <a:xfrm>
          <a:off x="76201" y="6553198"/>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187780</xdr:colOff>
      <xdr:row>45</xdr:row>
      <xdr:rowOff>10883</xdr:rowOff>
    </xdr:from>
    <xdr:to>
      <xdr:col>7</xdr:col>
      <xdr:colOff>204107</xdr:colOff>
      <xdr:row>46</xdr:row>
      <xdr:rowOff>21768</xdr:rowOff>
    </xdr:to>
    <xdr:sp macro="" textlink="">
      <xdr:nvSpPr>
        <xdr:cNvPr id="47" name="Rectangle 46"/>
        <xdr:cNvSpPr/>
      </xdr:nvSpPr>
      <xdr:spPr>
        <a:xfrm>
          <a:off x="187780" y="858338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108859</xdr:colOff>
      <xdr:row>44</xdr:row>
      <xdr:rowOff>27214</xdr:rowOff>
    </xdr:from>
    <xdr:to>
      <xdr:col>15</xdr:col>
      <xdr:colOff>585108</xdr:colOff>
      <xdr:row>45</xdr:row>
      <xdr:rowOff>51703</xdr:rowOff>
    </xdr:to>
    <xdr:sp macro="" textlink="">
      <xdr:nvSpPr>
        <xdr:cNvPr id="48" name="Rectangle 47"/>
        <xdr:cNvSpPr/>
      </xdr:nvSpPr>
      <xdr:spPr>
        <a:xfrm>
          <a:off x="4985659" y="8409214"/>
          <a:ext cx="4743449" cy="214989"/>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544288</xdr:colOff>
      <xdr:row>13</xdr:row>
      <xdr:rowOff>122464</xdr:rowOff>
    </xdr:from>
    <xdr:to>
      <xdr:col>31</xdr:col>
      <xdr:colOff>560615</xdr:colOff>
      <xdr:row>14</xdr:row>
      <xdr:rowOff>133349</xdr:rowOff>
    </xdr:to>
    <xdr:sp macro="" textlink="">
      <xdr:nvSpPr>
        <xdr:cNvPr id="49" name="Rectangle 48"/>
        <xdr:cNvSpPr/>
      </xdr:nvSpPr>
      <xdr:spPr>
        <a:xfrm>
          <a:off x="15174688" y="259896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547010</xdr:colOff>
      <xdr:row>14</xdr:row>
      <xdr:rowOff>152400</xdr:rowOff>
    </xdr:from>
    <xdr:to>
      <xdr:col>31</xdr:col>
      <xdr:colOff>563337</xdr:colOff>
      <xdr:row>15</xdr:row>
      <xdr:rowOff>163285</xdr:rowOff>
    </xdr:to>
    <xdr:sp macro="" textlink="">
      <xdr:nvSpPr>
        <xdr:cNvPr id="50" name="Rectangle 49"/>
        <xdr:cNvSpPr/>
      </xdr:nvSpPr>
      <xdr:spPr>
        <a:xfrm>
          <a:off x="15177410" y="28194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604160</xdr:colOff>
      <xdr:row>24</xdr:row>
      <xdr:rowOff>141514</xdr:rowOff>
    </xdr:from>
    <xdr:to>
      <xdr:col>31</xdr:col>
      <xdr:colOff>204107</xdr:colOff>
      <xdr:row>26</xdr:row>
      <xdr:rowOff>95250</xdr:rowOff>
    </xdr:to>
    <xdr:sp macro="" textlink="">
      <xdr:nvSpPr>
        <xdr:cNvPr id="51" name="Rectangle 50"/>
        <xdr:cNvSpPr/>
      </xdr:nvSpPr>
      <xdr:spPr>
        <a:xfrm>
          <a:off x="15234560" y="4713514"/>
          <a:ext cx="3867147" cy="33473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563340</xdr:colOff>
      <xdr:row>23</xdr:row>
      <xdr:rowOff>127907</xdr:rowOff>
    </xdr:from>
    <xdr:to>
      <xdr:col>31</xdr:col>
      <xdr:colOff>272144</xdr:colOff>
      <xdr:row>24</xdr:row>
      <xdr:rowOff>122464</xdr:rowOff>
    </xdr:to>
    <xdr:sp macro="" textlink="">
      <xdr:nvSpPr>
        <xdr:cNvPr id="52" name="Rectangle 51"/>
        <xdr:cNvSpPr/>
      </xdr:nvSpPr>
      <xdr:spPr>
        <a:xfrm>
          <a:off x="15193740" y="4509407"/>
          <a:ext cx="3976004" cy="185057"/>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585108</xdr:colOff>
      <xdr:row>12</xdr:row>
      <xdr:rowOff>136072</xdr:rowOff>
    </xdr:from>
    <xdr:to>
      <xdr:col>42</xdr:col>
      <xdr:colOff>601435</xdr:colOff>
      <xdr:row>13</xdr:row>
      <xdr:rowOff>146957</xdr:rowOff>
    </xdr:to>
    <xdr:sp macro="" textlink="">
      <xdr:nvSpPr>
        <xdr:cNvPr id="53" name="Rectangle 52"/>
        <xdr:cNvSpPr/>
      </xdr:nvSpPr>
      <xdr:spPr>
        <a:xfrm>
          <a:off x="21921108" y="24220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560615</xdr:colOff>
      <xdr:row>46</xdr:row>
      <xdr:rowOff>111579</xdr:rowOff>
    </xdr:from>
    <xdr:to>
      <xdr:col>42</xdr:col>
      <xdr:colOff>576942</xdr:colOff>
      <xdr:row>47</xdr:row>
      <xdr:rowOff>122464</xdr:rowOff>
    </xdr:to>
    <xdr:sp macro="" textlink="">
      <xdr:nvSpPr>
        <xdr:cNvPr id="54" name="Rectangle 53"/>
        <xdr:cNvSpPr/>
      </xdr:nvSpPr>
      <xdr:spPr>
        <a:xfrm>
          <a:off x="21896615" y="8874579"/>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168729</xdr:colOff>
      <xdr:row>52</xdr:row>
      <xdr:rowOff>155122</xdr:rowOff>
    </xdr:from>
    <xdr:to>
      <xdr:col>7</xdr:col>
      <xdr:colOff>185056</xdr:colOff>
      <xdr:row>53</xdr:row>
      <xdr:rowOff>166007</xdr:rowOff>
    </xdr:to>
    <xdr:sp macro="" textlink="">
      <xdr:nvSpPr>
        <xdr:cNvPr id="55" name="Rectangle 54"/>
        <xdr:cNvSpPr/>
      </xdr:nvSpPr>
      <xdr:spPr>
        <a:xfrm>
          <a:off x="168729" y="1006112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130629</xdr:colOff>
      <xdr:row>54</xdr:row>
      <xdr:rowOff>157844</xdr:rowOff>
    </xdr:from>
    <xdr:to>
      <xdr:col>7</xdr:col>
      <xdr:colOff>146956</xdr:colOff>
      <xdr:row>55</xdr:row>
      <xdr:rowOff>168729</xdr:rowOff>
    </xdr:to>
    <xdr:sp macro="" textlink="">
      <xdr:nvSpPr>
        <xdr:cNvPr id="56" name="Rectangle 55"/>
        <xdr:cNvSpPr/>
      </xdr:nvSpPr>
      <xdr:spPr>
        <a:xfrm>
          <a:off x="130629" y="1044484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106137</xdr:colOff>
      <xdr:row>41</xdr:row>
      <xdr:rowOff>174172</xdr:rowOff>
    </xdr:from>
    <xdr:to>
      <xdr:col>15</xdr:col>
      <xdr:colOff>122464</xdr:colOff>
      <xdr:row>42</xdr:row>
      <xdr:rowOff>185057</xdr:rowOff>
    </xdr:to>
    <xdr:sp macro="" textlink="">
      <xdr:nvSpPr>
        <xdr:cNvPr id="57" name="Rectangle 56"/>
        <xdr:cNvSpPr/>
      </xdr:nvSpPr>
      <xdr:spPr>
        <a:xfrm>
          <a:off x="4982937" y="79846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136073</xdr:colOff>
      <xdr:row>42</xdr:row>
      <xdr:rowOff>163286</xdr:rowOff>
    </xdr:from>
    <xdr:to>
      <xdr:col>15</xdr:col>
      <xdr:colOff>152400</xdr:colOff>
      <xdr:row>43</xdr:row>
      <xdr:rowOff>174171</xdr:rowOff>
    </xdr:to>
    <xdr:sp macro="" textlink="">
      <xdr:nvSpPr>
        <xdr:cNvPr id="58" name="Rectangle 57"/>
        <xdr:cNvSpPr/>
      </xdr:nvSpPr>
      <xdr:spPr>
        <a:xfrm>
          <a:off x="5012873" y="816428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40821</xdr:colOff>
      <xdr:row>27</xdr:row>
      <xdr:rowOff>0</xdr:rowOff>
    </xdr:from>
    <xdr:to>
      <xdr:col>52</xdr:col>
      <xdr:colOff>57148</xdr:colOff>
      <xdr:row>28</xdr:row>
      <xdr:rowOff>10885</xdr:rowOff>
    </xdr:to>
    <xdr:sp macro="" textlink="">
      <xdr:nvSpPr>
        <xdr:cNvPr id="59" name="Rectangle 58"/>
        <xdr:cNvSpPr/>
      </xdr:nvSpPr>
      <xdr:spPr>
        <a:xfrm>
          <a:off x="27472821" y="51435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44" name="COURSELIST" displayName="COURSELIST" ref="A1:J63" totalsRowCount="1" headerRowDxfId="918" dataDxfId="917" totalsRowDxfId="916">
  <autoFilter ref="A1:J62"/>
  <sortState ref="A2:J62">
    <sortCondition ref="C1:C62"/>
  </sortState>
  <tableColumns count="10">
    <tableColumn id="1" name="Course Name" dataDxfId="915" totalsRowDxfId="9"/>
    <tableColumn id="2" name="Course Description" dataDxfId="914" totalsRowDxfId="8"/>
    <tableColumn id="3" name="Major" totalsRowLabel="Total Credits" dataDxfId="913" totalsRowDxfId="7"/>
    <tableColumn id="4" name="Credits" totalsRowFunction="sum" dataDxfId="912" totalsRowDxfId="6"/>
    <tableColumn id="5" name="Semester Taken" dataDxfId="911" totalsRowDxfId="5"/>
    <tableColumn id="6" name="Enrolled" totalsRowLabel="Completed" dataDxfId="910" totalsRowDxfId="4"/>
    <tableColumn id="9" name="Complete" totalsRowFunction="custom" dataDxfId="909" totalsRowDxfId="3">
      <totalsRowFormula>COUNTIFS(COURSELIST[Complete],"Y",COURSELIST[Complete],"y")</totalsRowFormula>
    </tableColumn>
    <tableColumn id="10" name="Grade Points" totalsRowFunction="sum" dataDxfId="908" totalsRowDxfId="2"/>
    <tableColumn id="8" name="Notes" dataDxfId="907" totalsRowDxfId="1"/>
    <tableColumn id="7" name="Counter" dataDxfId="906" totalsRowDxfId="0"/>
  </tableColumns>
  <tableStyleInfo name="TableStyleMedium17" showFirstColumn="0" showLastColumn="0" showRowStripes="1" showColumnStripes="0"/>
</table>
</file>

<file path=xl/tables/table2.xml><?xml version="1.0" encoding="utf-8"?>
<table xmlns="http://schemas.openxmlformats.org/spreadsheetml/2006/main" id="46" name="Table16182047" displayName="Table16182047" ref="M27:R33" totalsRowShown="0" headerRowDxfId="905" dataDxfId="904">
  <autoFilter ref="M27:R33"/>
  <tableColumns count="6">
    <tableColumn id="1" name="GP can lose" dataDxfId="903">
      <calculatedColumnFormula>N10-$M$23</calculatedColumnFormula>
    </tableColumn>
    <tableColumn id="6" name="A-'s" dataDxfId="902">
      <calculatedColumnFormula>Table16182047[[#This Row],[GP can lose]]/$M$39</calculatedColumnFormula>
    </tableColumn>
    <tableColumn id="7" name="B's" dataDxfId="901">
      <calculatedColumnFormula>Table16182047[[#This Row],[GP can lose]]/$M$40</calculatedColumnFormula>
    </tableColumn>
    <tableColumn id="8" name="C's" dataDxfId="900">
      <calculatedColumnFormula>Table16182047[[#This Row],[GP can lose]]/$M$41</calculatedColumnFormula>
    </tableColumn>
    <tableColumn id="2" name="D's" dataDxfId="899">
      <calculatedColumnFormula>Table16182047[[#This Row],[GP can lose]]/$M$42</calculatedColumnFormula>
    </tableColumn>
    <tableColumn id="3" name="F's" dataDxfId="898">
      <calculatedColumnFormula>Table16182047[[#This Row],[GP can lose]]/$M$43</calculatedColumnFormula>
    </tableColumn>
  </tableColumns>
  <tableStyleInfo name="TableStyleMedium5" showFirstColumn="0" showLastColumn="0" showRowStripes="1" showColumnStripes="0"/>
</table>
</file>

<file path=xl/tables/table3.xml><?xml version="1.0" encoding="utf-8"?>
<table xmlns="http://schemas.openxmlformats.org/spreadsheetml/2006/main" id="2" name="Table1619463" displayName="Table1619463" ref="M9:R15" totalsRowShown="0" headerRowDxfId="897" dataDxfId="896">
  <autoFilter ref="M9:R15"/>
  <tableColumns count="6">
    <tableColumn id="1" name="Grade Points" dataDxfId="895">
      <calculatedColumnFormula>$O$3*L10</calculatedColumnFormula>
    </tableColumn>
    <tableColumn id="2" name="To be lost" dataDxfId="894">
      <calculatedColumnFormula>$M$10-M10</calculatedColumnFormula>
    </tableColumn>
    <tableColumn id="3" name="A-'s" dataDxfId="893">
      <calculatedColumnFormula>$N10/$M$39</calculatedColumnFormula>
    </tableColumn>
    <tableColumn id="4" name="B's" dataDxfId="892">
      <calculatedColumnFormula>$N10/$M$40</calculatedColumnFormula>
    </tableColumn>
    <tableColumn id="5" name="C's" dataDxfId="891">
      <calculatedColumnFormula>$N10/$M$41</calculatedColumnFormula>
    </tableColumn>
    <tableColumn id="6" name="D's" dataDxfId="890">
      <calculatedColumnFormula>$N10/$M$42</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20" name="Table32221" displayName="Table32221" ref="C46:J53" totalsRowShown="0" headerRowDxfId="889" dataDxfId="888">
  <autoFilter ref="C46:J53"/>
  <tableColumns count="8">
    <tableColumn id="1" name="Course" dataDxfId="887"/>
    <tableColumn id="2" name="Name" dataDxfId="886">
      <calculatedColumnFormula>IF(Table32221[[#This Row],[Course]]= "","",IFERROR(VLOOKUP(Table32221[[#This Row],[Course]],COURSELIST[],2,FALSE),"Course Not Found!"))</calculatedColumnFormula>
    </tableColumn>
    <tableColumn id="3" name="Degree" dataDxfId="885">
      <calculatedColumnFormula>IF(Table32221[[#This Row],[Course]]= "","",IFERROR(VLOOKUP(Table32221[[#This Row],[Course]],COURSELIST[],3,FALSE),""))</calculatedColumnFormula>
    </tableColumn>
    <tableColumn id="4" name="Credits" dataDxfId="884">
      <calculatedColumnFormula>IF(Table32221[[#This Row],[Course]]= "","",IFERROR(VLOOKUP(Table32221[[#This Row],[Course]],COURSELIST[],4,FALSE),""))</calculatedColumnFormula>
    </tableColumn>
    <tableColumn id="5" name=" " dataDxfId="883"/>
    <tableColumn id="6" name="Enrolled" dataDxfId="882">
      <calculatedColumnFormula>IF(Table32221[[#This Row],[Course]]= "","",IFERROR(VLOOKUP(Table32221[[#This Row],[Course]],COURSELIST[],6,FALSE),""))</calculatedColumnFormula>
    </tableColumn>
    <tableColumn id="7" name="Completed" dataDxfId="881">
      <calculatedColumnFormula>IF(Table32221[[#This Row],[Course]]= "","",IFERROR(VLOOKUP(Table32221[[#This Row],[Course]],COURSELIST[],7,FALSE),""))</calculatedColumnFormula>
    </tableColumn>
    <tableColumn id="8" name="GradePoints" dataDxfId="880">
      <calculatedColumnFormula>IF(Table32221[[#This Row],[Course]]= "","",IFERROR(VLOOKUP(Table32221[[#This Row],[Course]],COURSELIST[],8,FALSE),""))</calculatedColumnFormula>
    </tableColumn>
  </tableColumns>
  <tableStyleInfo name="TableStyleLight3" showFirstColumn="0" showLastColumn="0" showRowStripes="1" showColumnStripes="0"/>
</table>
</file>

<file path=xl/tables/table5.xml><?xml version="1.0" encoding="utf-8"?>
<table xmlns="http://schemas.openxmlformats.org/spreadsheetml/2006/main" id="33" name="Table42334" displayName="Table42334" ref="C32:J39" totalsRowShown="0" headerRowDxfId="879" dataDxfId="878">
  <autoFilter ref="C32:J39"/>
  <tableColumns count="8">
    <tableColumn id="1" name="Course" dataDxfId="877"/>
    <tableColumn id="2" name="Name" dataDxfId="876">
      <calculatedColumnFormula>IF(Table42334[[#This Row],[Course]]= "","",IFERROR(VLOOKUP(Table42334[[#This Row],[Course]],COURSELIST[],2,FALSE),"Course Not Found!"))</calculatedColumnFormula>
    </tableColumn>
    <tableColumn id="3" name="Degree" dataDxfId="875">
      <calculatedColumnFormula>IF(Table42334[[#This Row],[Course]]= "","",IFERROR(VLOOKUP(Table42334[[#This Row],[Course]],COURSELIST[],3,FALSE),""))</calculatedColumnFormula>
    </tableColumn>
    <tableColumn id="4" name="Credits" dataDxfId="874">
      <calculatedColumnFormula>IF(Table42334[[#This Row],[Course]]= "","",IFERROR(VLOOKUP(Table42334[[#This Row],[Course]],COURSELIST[],4,FALSE),""))</calculatedColumnFormula>
    </tableColumn>
    <tableColumn id="5" name=" " dataDxfId="873"/>
    <tableColumn id="6" name="Enrolled" dataDxfId="872">
      <calculatedColumnFormula>IF(Table42334[[#This Row],[Course]]= "","",IFERROR(VLOOKUP(Table42334[[#This Row],[Course]],COURSELIST[],6,FALSE),""))</calculatedColumnFormula>
    </tableColumn>
    <tableColumn id="7" name="Completed" dataDxfId="871">
      <calculatedColumnFormula>IF(Table42334[[#This Row],[Course]]= "","",IFERROR(VLOOKUP(Table42334[[#This Row],[Course]],COURSELIST[],7,FALSE),""))</calculatedColumnFormula>
    </tableColumn>
    <tableColumn id="8" name="GradePoints" dataDxfId="870">
      <calculatedColumnFormula>IF(Table42334[[#This Row],[Course]]= "","",IFERROR(VLOOKUP(Table42334[[#This Row],[Course]],COURSELIST[],8,FALSE),""))</calculatedColumnFormula>
    </tableColumn>
  </tableColumns>
  <tableStyleInfo name="TableStyleLight3" showFirstColumn="0" showLastColumn="0" showRowStripes="1" showColumnStripes="0"/>
</table>
</file>

<file path=xl/tables/table6.xml><?xml version="1.0" encoding="utf-8"?>
<table xmlns="http://schemas.openxmlformats.org/spreadsheetml/2006/main" id="34" name="Table52435" displayName="Table52435" ref="C18:J25" totalsRowShown="0" headerRowDxfId="869" dataDxfId="868">
  <autoFilter ref="C18:J25"/>
  <tableColumns count="8">
    <tableColumn id="1" name="Course" dataDxfId="867"/>
    <tableColumn id="2" name="Name" dataDxfId="866">
      <calculatedColumnFormula>IF(Table52435[[#This Row],[Course]]= "","",IFERROR(VLOOKUP(Table52435[[#This Row],[Course]],COURSELIST[],2,FALSE),"Course Not Found!"))</calculatedColumnFormula>
    </tableColumn>
    <tableColumn id="3" name="Degree" dataDxfId="865">
      <calculatedColumnFormula>IF(Table52435[[#This Row],[Course]]= "","",IFERROR(VLOOKUP(Table52435[[#This Row],[Course]],COURSELIST[],3,FALSE),""))</calculatedColumnFormula>
    </tableColumn>
    <tableColumn id="4" name="Credits" dataDxfId="864">
      <calculatedColumnFormula>IF(Table52435[[#This Row],[Course]]= "","",IFERROR(VLOOKUP(Table52435[[#This Row],[Course]],COURSELIST[],4,FALSE),""))</calculatedColumnFormula>
    </tableColumn>
    <tableColumn id="5" name=" " dataDxfId="863"/>
    <tableColumn id="6" name="Enrolled" dataDxfId="862">
      <calculatedColumnFormula>IF(Table52435[[#This Row],[Course]]= "","",IFERROR(VLOOKUP(Table52435[[#This Row],[Course]],COURSELIST[],6,FALSE),""))</calculatedColumnFormula>
    </tableColumn>
    <tableColumn id="7" name="Completed" dataDxfId="861">
      <calculatedColumnFormula>IF(Table52435[[#This Row],[Course]]= "","",IFERROR(VLOOKUP(Table52435[[#This Row],[Course]],COURSELIST[],7,FALSE),""))</calculatedColumnFormula>
    </tableColumn>
    <tableColumn id="8" name="GradePoints" dataDxfId="860">
      <calculatedColumnFormula>IF(Table52435[[#This Row],[Course]]= "","",IFERROR(VLOOKUP(Table52435[[#This Row],[Course]],COURSELIST[],8,FALSE),""))</calculatedColumnFormula>
    </tableColumn>
  </tableColumns>
  <tableStyleInfo name="TableStyleLight3" showFirstColumn="0" showLastColumn="0" showRowStripes="1" showColumnStripes="0"/>
</table>
</file>

<file path=xl/tables/table7.xml><?xml version="1.0" encoding="utf-8"?>
<table xmlns="http://schemas.openxmlformats.org/spreadsheetml/2006/main" id="35" name="CSMINORFALL201336" displayName="CSMINORFALL201336" ref="C3:J10" totalsRowShown="0" headerRowDxfId="859" dataDxfId="858">
  <autoFilter ref="C3:J10"/>
  <tableColumns count="8">
    <tableColumn id="1" name="Course" dataDxfId="857"/>
    <tableColumn id="2" name="Name" dataDxfId="856">
      <calculatedColumnFormula>IF(CSMINORFALL201336[[#This Row],[Course]]= "","",IFERROR(VLOOKUP(CSMINORFALL201336[[#This Row],[Course]],COURSELIST[],2,FALSE),"Course Not Found!"))</calculatedColumnFormula>
    </tableColumn>
    <tableColumn id="3" name="Degree" dataDxfId="855">
      <calculatedColumnFormula>IF(CSMINORFALL201336[[#This Row],[Course]]= "","",IFERROR(VLOOKUP(CSMINORFALL201336[[#This Row],[Course]],COURSELIST[],3,FALSE),""))</calculatedColumnFormula>
    </tableColumn>
    <tableColumn id="4" name="Credits" dataDxfId="854">
      <calculatedColumnFormula>IF(CSMINORFALL201336[[#This Row],[Course]]= "","",IFERROR(VLOOKUP(CSMINORFALL201336[[#This Row],[Course]],COURSELIST[],4,FALSE),""))</calculatedColumnFormula>
    </tableColumn>
    <tableColumn id="5" name=" " dataDxfId="853"/>
    <tableColumn id="6" name="Enrolled" dataDxfId="852">
      <calculatedColumnFormula>IF(CSMINORFALL201336[[#This Row],[Course]]= "","",IFERROR(VLOOKUP(CSMINORFALL201336[[#This Row],[Course]],COURSELIST[],6,FALSE),""))</calculatedColumnFormula>
    </tableColumn>
    <tableColumn id="7" name="Completed" dataDxfId="851">
      <calculatedColumnFormula>IF(CSMINORFALL201336[[#This Row],[Course]]= "","",IFERROR(VLOOKUP(CSMINORFALL201336[[#This Row],[Course]],COURSELIST[],7,FALSE),""))</calculatedColumnFormula>
    </tableColumn>
    <tableColumn id="8" name="GradePoints" dataDxfId="850">
      <calculatedColumnFormula>IF(CSMINORFALL201336[[#This Row],[Course]]= "","",IFERROR(VLOOKUP(CSMINORFALL201336[[#This Row],[Course]],COURSELIST[],8,FALSE),""))</calculatedColumnFormula>
    </tableColumn>
  </tableColumns>
  <tableStyleInfo name="TableStyleLight3" showFirstColumn="0" showLastColumn="0" showRowStripes="1" showColumnStripes="0"/>
</table>
</file>

<file path=xl/tables/table8.xml><?xml version="1.0" encoding="utf-8"?>
<table xmlns="http://schemas.openxmlformats.org/spreadsheetml/2006/main" id="36" name="Table72637" displayName="Table72637" ref="W18:AD25" totalsRowShown="0" headerRowDxfId="849" dataDxfId="848">
  <autoFilter ref="W18:AD25"/>
  <tableColumns count="8">
    <tableColumn id="1" name="Course" dataDxfId="847"/>
    <tableColumn id="2" name="Name" dataDxfId="846">
      <calculatedColumnFormula>IF(Table72637[[#This Row],[Course]]= "","",IFERROR(VLOOKUP(Table72637[[#This Row],[Course]],COURSELIST[],2,FALSE),"Course Not Found!"))</calculatedColumnFormula>
    </tableColumn>
    <tableColumn id="3" name="Degree" dataDxfId="845">
      <calculatedColumnFormula>IF(Table72637[[#This Row],[Course]]= "","",IFERROR(VLOOKUP(Table72637[[#This Row],[Course]],COURSELIST[],3,FALSE),""))</calculatedColumnFormula>
    </tableColumn>
    <tableColumn id="4" name="Credits" dataDxfId="844">
      <calculatedColumnFormula>IF(Table72637[[#This Row],[Course]]= "","",IFERROR(VLOOKUP(Table72637[[#This Row],[Course]],COURSELIST[],4,FALSE),""))</calculatedColumnFormula>
    </tableColumn>
    <tableColumn id="5" name=" " dataDxfId="843"/>
    <tableColumn id="6" name="Enrolled" dataDxfId="842">
      <calculatedColumnFormula>IF(Table72637[[#This Row],[Course]]= "","",IFERROR(VLOOKUP(Table72637[[#This Row],[Course]],COURSELIST[],6,FALSE),""))</calculatedColumnFormula>
    </tableColumn>
    <tableColumn id="7" name="Completed" dataDxfId="841">
      <calculatedColumnFormula>IF(Table72637[[#This Row],[Course]]= "","",IFERROR(VLOOKUP(Table72637[[#This Row],[Course]],COURSELIST[],7,FALSE),""))</calculatedColumnFormula>
    </tableColumn>
    <tableColumn id="8" name="GradePoints" dataDxfId="840">
      <calculatedColumnFormula>IF(Table72637[[#This Row],[Course]]= "","",IFERROR(VLOOKUP(Table72637[[#This Row],[Course]],COURSELIST[],8,FALSE),""))</calculatedColumnFormula>
    </tableColumn>
  </tableColumns>
  <tableStyleInfo name="TableStyleLight7" showFirstColumn="0" showLastColumn="0" showRowStripes="1" showColumnStripes="0"/>
</table>
</file>

<file path=xl/tables/table9.xml><?xml version="1.0" encoding="utf-8"?>
<table xmlns="http://schemas.openxmlformats.org/spreadsheetml/2006/main" id="37" name="Table82738" displayName="Table82738" ref="W32:AD39" totalsRowShown="0" headerRowDxfId="839" dataDxfId="838">
  <autoFilter ref="W32:AD39"/>
  <tableColumns count="8">
    <tableColumn id="1" name="Course" dataDxfId="837"/>
    <tableColumn id="2" name="Name" dataDxfId="836">
      <calculatedColumnFormula>IF(Table82738[[#This Row],[Course]]= "","",IFERROR(VLOOKUP(Table82738[[#This Row],[Course]],COURSELIST[],2,FALSE),"Course Not Found!"))</calculatedColumnFormula>
    </tableColumn>
    <tableColumn id="3" name="Degree" dataDxfId="835">
      <calculatedColumnFormula>IF(Table82738[[#This Row],[Course]]= "","",IFERROR(VLOOKUP(Table82738[[#This Row],[Course]],COURSELIST[],3,FALSE),""))</calculatedColumnFormula>
    </tableColumn>
    <tableColumn id="4" name="Credits" dataDxfId="834">
      <calculatedColumnFormula>IF(Table82738[[#This Row],[Course]]= "","",IFERROR(VLOOKUP(Table82738[[#This Row],[Course]],COURSELIST[],4,FALSE),""))</calculatedColumnFormula>
    </tableColumn>
    <tableColumn id="5" name=" " dataDxfId="833"/>
    <tableColumn id="6" name="Enrolled" dataDxfId="832">
      <calculatedColumnFormula>IF(Table82738[[#This Row],[Course]]= "","",IFERROR(VLOOKUP(Table82738[[#This Row],[Course]],COURSELIST[],6,FALSE),""))</calculatedColumnFormula>
    </tableColumn>
    <tableColumn id="7" name="Completed" dataDxfId="831">
      <calculatedColumnFormula>IF(Table82738[[#This Row],[Course]]= "","",IFERROR(VLOOKUP(Table82738[[#This Row],[Course]],COURSELIST[],7,FALSE),""))</calculatedColumnFormula>
    </tableColumn>
    <tableColumn id="8" name="GradePoints" dataDxfId="830">
      <calculatedColumnFormula>IF(Table82738[[#This Row],[Course]]= "","",IFERROR(VLOOKUP(Table82738[[#This Row],[Course]],COURSELIST[],8,FALSE),""))</calculatedColumnFormula>
    </tableColumn>
  </tableColumns>
  <tableStyleInfo name="TableStyleLight7" showFirstColumn="0" showLastColumn="0" showRowStripes="1" showColumnStripes="0"/>
</table>
</file>

<file path=xl/tables/table10.xml><?xml version="1.0" encoding="utf-8"?>
<table xmlns="http://schemas.openxmlformats.org/spreadsheetml/2006/main" id="38" name="Table92839" displayName="Table92839" ref="W46:AD53" totalsRowShown="0" headerRowDxfId="829" dataDxfId="828">
  <autoFilter ref="W46:AD53"/>
  <tableColumns count="8">
    <tableColumn id="1" name="Course" dataDxfId="827"/>
    <tableColumn id="2" name="Name" dataDxfId="826">
      <calculatedColumnFormula>IF(Table92839[[#This Row],[Course]]= "","",IFERROR(VLOOKUP(Table92839[[#This Row],[Course]],COURSELIST[],2,FALSE),"Course Not Found!"))</calculatedColumnFormula>
    </tableColumn>
    <tableColumn id="3" name="Degree" dataDxfId="825">
      <calculatedColumnFormula>IF(Table92839[[#This Row],[Course]]= "","",IFERROR(VLOOKUP(Table92839[[#This Row],[Course]],COURSELIST[],3,FALSE),""))</calculatedColumnFormula>
    </tableColumn>
    <tableColumn id="4" name="Credits" dataDxfId="824">
      <calculatedColumnFormula>IF(Table92839[[#This Row],[Course]]= "","",IFERROR(VLOOKUP(Table92839[[#This Row],[Course]],COURSELIST[],4,FALSE),""))</calculatedColumnFormula>
    </tableColumn>
    <tableColumn id="5" name=" " dataDxfId="823"/>
    <tableColumn id="6" name="Enrolled" dataDxfId="822">
      <calculatedColumnFormula>IF(Table92839[[#This Row],[Course]]= "","",IFERROR(VLOOKUP(Table92839[[#This Row],[Course]],COURSELIST[],6,FALSE),""))</calculatedColumnFormula>
    </tableColumn>
    <tableColumn id="7" name="Completed" dataDxfId="821">
      <calculatedColumnFormula>IF(Table92839[[#This Row],[Course]]= "","",IFERROR(VLOOKUP(Table92839[[#This Row],[Course]],COURSELIST[],7,FALSE),""))</calculatedColumnFormula>
    </tableColumn>
    <tableColumn id="8" name="GradePoints" dataDxfId="820">
      <calculatedColumnFormula>IF(Table92839[[#This Row],[Course]]= "","",IFERROR(VLOOKUP(Table92839[[#This Row],[Course]],COURSELIST[],8,FALSE),""))</calculatedColumnFormula>
    </tableColumn>
  </tableColumns>
  <tableStyleInfo name="TableStyleLight7" showFirstColumn="0" showLastColumn="0" showRowStripes="1" showColumnStripes="0"/>
</table>
</file>

<file path=xl/tables/table11.xml><?xml version="1.0" encoding="utf-8"?>
<table xmlns="http://schemas.openxmlformats.org/spreadsheetml/2006/main" id="39" name="Table102940" displayName="Table102940" ref="W3:AD10" totalsRowShown="0" headerRowDxfId="819" dataDxfId="818">
  <autoFilter ref="W3:AD10"/>
  <tableColumns count="8">
    <tableColumn id="1" name="Course" dataDxfId="817"/>
    <tableColumn id="2" name="Name" dataDxfId="816">
      <calculatedColumnFormula>IF(Table102940[[#This Row],[Course]]= "","",IFERROR(VLOOKUP(Table102940[[#This Row],[Course]],COURSELIST[],2,FALSE), "Class Not Found!"))</calculatedColumnFormula>
    </tableColumn>
    <tableColumn id="3" name="Degree" dataDxfId="815">
      <calculatedColumnFormula>IF(Table102940[[#This Row],[Course]]= "","",IFERROR(VLOOKUP(Table102940[[#This Row],[Course]],COURSELIST[],3,FALSE),""))</calculatedColumnFormula>
    </tableColumn>
    <tableColumn id="4" name="Credits" dataDxfId="814">
      <calculatedColumnFormula>IF(Table102940[[#This Row],[Course]]= "","",IFERROR(VLOOKUP(Table102940[[#This Row],[Course]],COURSELIST[],4,FALSE),""))</calculatedColumnFormula>
    </tableColumn>
    <tableColumn id="5" name=" " dataDxfId="813"/>
    <tableColumn id="6" name="Enrolled" dataDxfId="812">
      <calculatedColumnFormula>IF(Table102940[[#This Row],[Course]]= "","",IFERROR(VLOOKUP(Table102940[[#This Row],[Course]],COURSELIST[],6,FALSE),""))</calculatedColumnFormula>
    </tableColumn>
    <tableColumn id="7" name="Completed" dataDxfId="811">
      <calculatedColumnFormula>IF(Table102940[[#This Row],[Course]]= "","",IFERROR(VLOOKUP(Table102940[[#This Row],[Course]],COURSELIST[],7,FALSE),""))</calculatedColumnFormula>
    </tableColumn>
    <tableColumn id="8" name="GradePoints" dataDxfId="810">
      <calculatedColumnFormula>IF(Table102940[[#This Row],[Course]]= "","",IFERROR(VLOOKUP(Table102940[[#This Row],[Course]],COURSELIST[],8,FALSE),""))</calculatedColumnFormula>
    </tableColumn>
  </tableColumns>
  <tableStyleInfo name="TableStyleLight7" showFirstColumn="0" showLastColumn="0" showRowStripes="1" showColumnStripes="0"/>
</table>
</file>

<file path=xl/tables/table12.xml><?xml version="1.0" encoding="utf-8"?>
<table xmlns="http://schemas.openxmlformats.org/spreadsheetml/2006/main" id="40" name="CSMINORWINTERIM201441" displayName="CSMINORWINTERIM201441" ref="M3:T10" totalsRowShown="0" headerRowDxfId="809" dataDxfId="808">
  <autoFilter ref="M3:T10"/>
  <tableColumns count="8">
    <tableColumn id="1" name="Course" dataDxfId="807"/>
    <tableColumn id="2" name="Name" dataDxfId="806">
      <calculatedColumnFormula>IF(CSMINORWINTERIM201441[[#This Row],[Course]]= "","",IFERROR(VLOOKUP(CSMINORWINTERIM201441[[#This Row],[Course]],COURSELIST[],2,FALSE), "Class Not Found!"))</calculatedColumnFormula>
    </tableColumn>
    <tableColumn id="3" name="Degree" dataDxfId="805">
      <calculatedColumnFormula>IF(CSMINORWINTERIM201441[[#This Row],[Course]]= "","",IFERROR(VLOOKUP(CSMINORWINTERIM201441[[#This Row],[Course]],COURSELIST[],3,FALSE),""))</calculatedColumnFormula>
    </tableColumn>
    <tableColumn id="4" name="Credits" dataDxfId="804">
      <calculatedColumnFormula>IF(CSMINORWINTERIM201441[[#This Row],[Course]]= "","",IFERROR(VLOOKUP(CSMINORWINTERIM201441[[#This Row],[Course]],COURSELIST[],4,FALSE),""))</calculatedColumnFormula>
    </tableColumn>
    <tableColumn id="5" name=" " dataDxfId="803"/>
    <tableColumn id="6" name="Enrolled" dataDxfId="802">
      <calculatedColumnFormula>IF(CSMINORWINTERIM201441[[#This Row],[Course]]= "","",IFERROR(VLOOKUP(CSMINORWINTERIM201441[[#This Row],[Course]],COURSELIST[],6,FALSE),""))</calculatedColumnFormula>
    </tableColumn>
    <tableColumn id="7" name="Completed" dataDxfId="801">
      <calculatedColumnFormula>IF(CSMINORWINTERIM201441[[#This Row],[Course]]= "","",IFERROR(VLOOKUP(CSMINORWINTERIM201441[[#This Row],[Course]],COURSELIST[],7,FALSE),""))</calculatedColumnFormula>
    </tableColumn>
    <tableColumn id="8" name="GradePoints" dataDxfId="800">
      <calculatedColumnFormula>IF(CSMINORWINTERIM201441[[#This Row],[Course]]= "","",IFERROR(VLOOKUP(CSMINORWINTERIM201441[[#This Row],[Course]],COURSELIST[],8,FALSE),""))</calculatedColumnFormula>
    </tableColumn>
  </tableColumns>
  <tableStyleInfo name="TableStyleLight2" showFirstColumn="0" showLastColumn="0" showRowStripes="1" showColumnStripes="0"/>
</table>
</file>

<file path=xl/tables/table13.xml><?xml version="1.0" encoding="utf-8"?>
<table xmlns="http://schemas.openxmlformats.org/spreadsheetml/2006/main" id="41" name="Table123142" displayName="Table123142" ref="M18:T25" totalsRowShown="0" headerRowDxfId="799" dataDxfId="798">
  <autoFilter ref="M18:T25"/>
  <tableColumns count="8">
    <tableColumn id="1" name="Course" dataDxfId="797"/>
    <tableColumn id="2" name="Name" dataDxfId="796">
      <calculatedColumnFormula>IF(Table123142[[#This Row],[Course]]= "","",IFERROR(VLOOKUP(Table123142[[#This Row],[Course]],COURSELIST[],2,FALSE),"Course Not Found!"))</calculatedColumnFormula>
    </tableColumn>
    <tableColumn id="3" name="Degree" dataDxfId="795">
      <calculatedColumnFormula>IF(Table123142[[#This Row],[Course]]= "","",IFERROR(VLOOKUP(Table123142[[#This Row],[Course]],COURSELIST[],3,FALSE),""))</calculatedColumnFormula>
    </tableColumn>
    <tableColumn id="4" name="Credits" dataDxfId="794">
      <calculatedColumnFormula>IF(Table123142[[#This Row],[Course]]= "","",IFERROR(VLOOKUP(Table123142[[#This Row],[Course]],COURSELIST[],4,FALSE),""))</calculatedColumnFormula>
    </tableColumn>
    <tableColumn id="5" name=" " dataDxfId="793"/>
    <tableColumn id="6" name="Enrolled" dataDxfId="792">
      <calculatedColumnFormula>IF(Table123142[[#This Row],[Course]]= "","",IFERROR(VLOOKUP(Table123142[[#This Row],[Course]],COURSELIST[],6,FALSE),""))</calculatedColumnFormula>
    </tableColumn>
    <tableColumn id="7" name="Completed" dataDxfId="791">
      <calculatedColumnFormula>IF(Table123142[[#This Row],[Course]]= "","",IFERROR(VLOOKUP(Table123142[[#This Row],[Course]],COURSELIST[],7,FALSE),""))</calculatedColumnFormula>
    </tableColumn>
    <tableColumn id="8" name="GradePoints" dataDxfId="790">
      <calculatedColumnFormula>IF(Table123142[[#This Row],[Course]]= "","",IFERROR(VLOOKUP(Table123142[[#This Row],[Course]],COURSELIST[],8,FALSE),""))</calculatedColumnFormula>
    </tableColumn>
  </tableColumns>
  <tableStyleInfo name="TableStyleLight2" showFirstColumn="0" showLastColumn="0" showRowStripes="1" showColumnStripes="0"/>
</table>
</file>

<file path=xl/tables/table14.xml><?xml version="1.0" encoding="utf-8"?>
<table xmlns="http://schemas.openxmlformats.org/spreadsheetml/2006/main" id="42" name="Table133243" displayName="Table133243" ref="M32:T39" totalsRowShown="0" headerRowDxfId="789" dataDxfId="788">
  <autoFilter ref="M32:T39"/>
  <tableColumns count="8">
    <tableColumn id="1" name="Course" dataDxfId="787"/>
    <tableColumn id="2" name="Name" dataDxfId="786">
      <calculatedColumnFormula>IF(Table133243[[#This Row],[Course]]= "","",IFERROR(VLOOKUP(Table133243[[#This Row],[Course]],COURSELIST[],2,FALSE),"Course Not Found!"))</calculatedColumnFormula>
    </tableColumn>
    <tableColumn id="3" name="Degree" dataDxfId="785">
      <calculatedColumnFormula>IF(Table133243[[#This Row],[Course]]= "","",IFERROR(VLOOKUP(Table133243[[#This Row],[Course]],COURSELIST[],3,FALSE),""))</calculatedColumnFormula>
    </tableColumn>
    <tableColumn id="4" name="Credits" dataDxfId="784">
      <calculatedColumnFormula>IF(Table133243[[#This Row],[Course]]= "","",IFERROR(VLOOKUP(Table133243[[#This Row],[Course]],COURSELIST[],4,FALSE),""))</calculatedColumnFormula>
    </tableColumn>
    <tableColumn id="5" name=" " dataDxfId="783"/>
    <tableColumn id="6" name="Enrolled" dataDxfId="782">
      <calculatedColumnFormula>IF(Table133243[[#This Row],[Course]]= "","",IFERROR(VLOOKUP(Table133243[[#This Row],[Course]],COURSELIST[],6,FALSE),""))</calculatedColumnFormula>
    </tableColumn>
    <tableColumn id="7" name="Completed" dataDxfId="781">
      <calculatedColumnFormula>IF(Table133243[[#This Row],[Course]]= "","",IFERROR(VLOOKUP(Table133243[[#This Row],[Course]],COURSELIST[],7,FALSE),""))</calculatedColumnFormula>
    </tableColumn>
    <tableColumn id="8" name="GradePoints" dataDxfId="780">
      <calculatedColumnFormula>IF(Table133243[[#This Row],[Course]]= "","",IFERROR(VLOOKUP(Table133243[[#This Row],[Course]],COURSELIST[],8,FALSE),""))</calculatedColumnFormula>
    </tableColumn>
  </tableColumns>
  <tableStyleInfo name="TableStyleLight2" showFirstColumn="0" showLastColumn="0" showRowStripes="1" showColumnStripes="0"/>
</table>
</file>

<file path=xl/tables/table15.xml><?xml version="1.0" encoding="utf-8"?>
<table xmlns="http://schemas.openxmlformats.org/spreadsheetml/2006/main" id="43" name="Table143344" displayName="Table143344" ref="M46:T53" totalsRowShown="0" headerRowDxfId="779" dataDxfId="778">
  <autoFilter ref="M46:T53"/>
  <tableColumns count="8">
    <tableColumn id="1" name="Course" dataDxfId="777"/>
    <tableColumn id="2" name="Name" dataDxfId="776">
      <calculatedColumnFormula>IF(Table143344[[#This Row],[Course]]= "","",IFERROR(VLOOKUP(Table143344[[#This Row],[Course]],COURSELIST[],2,FALSE),"Course Not Found!"))</calculatedColumnFormula>
    </tableColumn>
    <tableColumn id="3" name="Degree" dataDxfId="775">
      <calculatedColumnFormula>IF(Table143344[[#This Row],[Course]]= "","",IFERROR(VLOOKUP(Table143344[[#This Row],[Course]],COURSELIST[],3,FALSE),""))</calculatedColumnFormula>
    </tableColumn>
    <tableColumn id="4" name="Credits" dataDxfId="774">
      <calculatedColumnFormula>IF(Table143344[[#This Row],[Course]]= "","",IFERROR(VLOOKUP(Table143344[[#This Row],[Course]],COURSELIST[],4,FALSE),""))</calculatedColumnFormula>
    </tableColumn>
    <tableColumn id="5" name=" " dataDxfId="773"/>
    <tableColumn id="6" name="Enrolled" dataDxfId="772">
      <calculatedColumnFormula>IF(Table143344[[#This Row],[Course]]= "","",IFERROR(VLOOKUP(Table143344[[#This Row],[Course]],COURSELIST[],6,FALSE),""))</calculatedColumnFormula>
    </tableColumn>
    <tableColumn id="7" name="Completed" dataDxfId="771">
      <calculatedColumnFormula>IF(Table143344[[#This Row],[Course]]= "","",IFERROR(VLOOKUP(Table143344[[#This Row],[Course]],COURSELIST[],7,FALSE),""))</calculatedColumnFormula>
    </tableColumn>
    <tableColumn id="8" name="GradePoints" dataDxfId="770">
      <calculatedColumnFormula>IF(Table143344[[#This Row],[Course]]= "","",IFERROR(VLOOKUP(Table143344[[#This Row],[Course]],COURSELIST[],8,FALSE),""))</calculatedColumnFormula>
    </tableColumn>
  </tableColumns>
  <tableStyleInfo name="TableStyleLight2" showFirstColumn="0" showLastColumn="0" showRowStripes="1" showColumnStripes="0"/>
</table>
</file>

<file path=xl/tables/table16.xml><?xml version="1.0" encoding="utf-8"?>
<table xmlns="http://schemas.openxmlformats.org/spreadsheetml/2006/main" id="47" name="Table3222148" displayName="Table3222148" ref="C60:J67" totalsRowShown="0" headerRowDxfId="769" dataDxfId="768">
  <autoFilter ref="C60:J67"/>
  <tableColumns count="8">
    <tableColumn id="1" name="Course" dataDxfId="767"/>
    <tableColumn id="2" name="Name" dataDxfId="766">
      <calculatedColumnFormula>IF(Table3222148[[#This Row],[Course]]= "","",IFERROR(VLOOKUP(Table3222148[[#This Row],[Course]],COURSELIST[],2,FALSE),"Course Not Found!"))</calculatedColumnFormula>
    </tableColumn>
    <tableColumn id="3" name="Degree" dataDxfId="765">
      <calculatedColumnFormula>IF(Table3222148[[#This Row],[Course]]= "","",IFERROR(VLOOKUP(Table3222148[[#This Row],[Course]],COURSELIST[],3,FALSE),""))</calculatedColumnFormula>
    </tableColumn>
    <tableColumn id="4" name="Credits" dataDxfId="764">
      <calculatedColumnFormula>IF(Table3222148[[#This Row],[Course]]= "","",IFERROR(VLOOKUP(Table3222148[[#This Row],[Course]],COURSELIST[],4,FALSE),""))</calculatedColumnFormula>
    </tableColumn>
    <tableColumn id="5" name=" " dataDxfId="763"/>
    <tableColumn id="6" name="Enrolled" dataDxfId="762">
      <calculatedColumnFormula>IF(Table3222148[[#This Row],[Course]]= "","",IFERROR(VLOOKUP(Table3222148[[#This Row],[Course]],COURSELIST[],6,FALSE),""))</calculatedColumnFormula>
    </tableColumn>
    <tableColumn id="7" name="Completed" dataDxfId="761">
      <calculatedColumnFormula>IF(Table3222148[[#This Row],[Course]]= "","",IFERROR(VLOOKUP(Table3222148[[#This Row],[Course]],COURSELIST[],7,FALSE),""))</calculatedColumnFormula>
    </tableColumn>
    <tableColumn id="8" name="GradePoints" dataDxfId="760">
      <calculatedColumnFormula>IF(Table3222148[[#This Row],[Course]]= "","",IFERROR(VLOOKUP(Table3222148[[#This Row],[Course]],COURSELIST[],8,FALSE),""))</calculatedColumnFormula>
    </tableColumn>
  </tableColumns>
  <tableStyleInfo name="TableStyleLight3" showFirstColumn="0" showLastColumn="0" showRowStripes="1" showColumnStripes="0"/>
</table>
</file>

<file path=xl/tables/table17.xml><?xml version="1.0" encoding="utf-8"?>
<table xmlns="http://schemas.openxmlformats.org/spreadsheetml/2006/main" id="48" name="Table9283949" displayName="Table9283949" ref="W60:AD67" totalsRowShown="0" headerRowDxfId="759" dataDxfId="758">
  <autoFilter ref="W60:AD67"/>
  <tableColumns count="8">
    <tableColumn id="1" name="Course" dataDxfId="757"/>
    <tableColumn id="2" name="Name" dataDxfId="756">
      <calculatedColumnFormula>IF(Table9283949[[#This Row],[Course]]= "","",IFERROR(VLOOKUP(Table9283949[[#This Row],[Course]],COURSELIST[],2,FALSE),"Course Not Found!"))</calculatedColumnFormula>
    </tableColumn>
    <tableColumn id="3" name="Degree" dataDxfId="755">
      <calculatedColumnFormula>IF(Table9283949[[#This Row],[Course]]= "","",IFERROR(VLOOKUP(Table9283949[[#This Row],[Course]],COURSELIST[],3,FALSE),""))</calculatedColumnFormula>
    </tableColumn>
    <tableColumn id="4" name="Credits" dataDxfId="754">
      <calculatedColumnFormula>IF(Table9283949[[#This Row],[Course]]= "","",IFERROR(VLOOKUP(Table9283949[[#This Row],[Course]],COURSELIST[],4,FALSE),""))</calculatedColumnFormula>
    </tableColumn>
    <tableColumn id="5" name=" " dataDxfId="753"/>
    <tableColumn id="6" name="Enrolled" dataDxfId="752">
      <calculatedColumnFormula>IF(Table9283949[[#This Row],[Course]]= "","",IFERROR(VLOOKUP(Table9283949[[#This Row],[Course]],COURSELIST[],6,FALSE),""))</calculatedColumnFormula>
    </tableColumn>
    <tableColumn id="7" name="Completed" dataDxfId="751">
      <calculatedColumnFormula>IF(Table9283949[[#This Row],[Course]]= "","",IFERROR(VLOOKUP(Table9283949[[#This Row],[Course]],COURSELIST[],7,FALSE),""))</calculatedColumnFormula>
    </tableColumn>
    <tableColumn id="8" name="GradePoints" dataDxfId="750">
      <calculatedColumnFormula>IF(Table9283949[[#This Row],[Course]]= "","",IFERROR(VLOOKUP(Table9283949[[#This Row],[Course]],COURSELIST[],8,FALSE),""))</calculatedColumnFormula>
    </tableColumn>
  </tableColumns>
  <tableStyleInfo name="TableStyleLight7" showFirstColumn="0" showLastColumn="0" showRowStripes="1" showColumnStripes="0"/>
</table>
</file>

<file path=xl/tables/table18.xml><?xml version="1.0" encoding="utf-8"?>
<table xmlns="http://schemas.openxmlformats.org/spreadsheetml/2006/main" id="49" name="Table14334450" displayName="Table14334450" ref="M60:T67" totalsRowShown="0" headerRowDxfId="749" dataDxfId="748">
  <autoFilter ref="M60:T67"/>
  <tableColumns count="8">
    <tableColumn id="1" name="Course" dataDxfId="747"/>
    <tableColumn id="2" name="Name" dataDxfId="746">
      <calculatedColumnFormula>IF(Table14334450[[#This Row],[Course]]= "","",IFERROR(VLOOKUP(Table14334450[[#This Row],[Course]],COURSELIST[],2,FALSE),"Course Not Found!"))</calculatedColumnFormula>
    </tableColumn>
    <tableColumn id="3" name="Degree" dataDxfId="745">
      <calculatedColumnFormula>IF(Table14334450[[#This Row],[Course]]= "","",IFERROR(VLOOKUP(Table14334450[[#This Row],[Course]],COURSELIST[],3,FALSE),""))</calculatedColumnFormula>
    </tableColumn>
    <tableColumn id="4" name="Credits" dataDxfId="744">
      <calculatedColumnFormula>IF(Table14334450[[#This Row],[Course]]= "","",IFERROR(VLOOKUP(Table14334450[[#This Row],[Course]],COURSELIST[],4,FALSE),""))</calculatedColumnFormula>
    </tableColumn>
    <tableColumn id="5" name=" " dataDxfId="743"/>
    <tableColumn id="6" name="Enrolled" dataDxfId="742">
      <calculatedColumnFormula>IF(Table14334450[[#This Row],[Course]]= "","",IFERROR(VLOOKUP(Table14334450[[#This Row],[Course]],COURSELIST[],6,FALSE),""))</calculatedColumnFormula>
    </tableColumn>
    <tableColumn id="7" name="Completed" dataDxfId="741">
      <calculatedColumnFormula>IF(Table14334450[[#This Row],[Course]]= "","",IFERROR(VLOOKUP(Table14334450[[#This Row],[Course]],COURSELIST[],7,FALSE),""))</calculatedColumnFormula>
    </tableColumn>
    <tableColumn id="8" name="GradePoints" dataDxfId="740">
      <calculatedColumnFormula>IF(Table14334450[[#This Row],[Course]]= "","",IFERROR(VLOOKUP(Table14334450[[#This Row],[Course]],COURSELIST[],8,FALSE),""))</calculatedColumnFormula>
    </tableColumn>
  </tableColumns>
  <tableStyleInfo name="TableStyleLight2" showFirstColumn="0" showLastColumn="0" showRowStripes="1" showColumnStripes="0"/>
</table>
</file>

<file path=xl/tables/table19.xml><?xml version="1.0" encoding="utf-8"?>
<table xmlns="http://schemas.openxmlformats.org/spreadsheetml/2006/main" id="51" name="Table928394952" displayName="Table928394952" ref="AG46:AN53" totalsRowShown="0" headerRowDxfId="739" dataDxfId="738">
  <autoFilter ref="AG46:AN53"/>
  <tableColumns count="8">
    <tableColumn id="1" name="Course" dataDxfId="737"/>
    <tableColumn id="2" name="Name" dataDxfId="736">
      <calculatedColumnFormula>IF(Table928394952[[#This Row],[Course]]= "","",IFERROR(VLOOKUP(Table928394952[[#This Row],[Course]],COURSELIST[],2,FALSE),"Course Not Found!"))</calculatedColumnFormula>
    </tableColumn>
    <tableColumn id="3" name="Degree" dataDxfId="735">
      <calculatedColumnFormula>IF(Table928394952[[#This Row],[Course]]= "","",IFERROR(VLOOKUP(Table928394952[[#This Row],[Course]],COURSELIST[],3,FALSE),""))</calculatedColumnFormula>
    </tableColumn>
    <tableColumn id="4" name="Credits" dataDxfId="734">
      <calculatedColumnFormula>IF(Table928394952[[#This Row],[Course]]= "","",IFERROR(VLOOKUP(Table928394952[[#This Row],[Course]],COURSELIST[],4,FALSE),""))</calculatedColumnFormula>
    </tableColumn>
    <tableColumn id="5" name=" " dataDxfId="733"/>
    <tableColumn id="6" name="Enrolled" dataDxfId="732">
      <calculatedColumnFormula>IF(Table928394952[[#This Row],[Course]]= "","",IFERROR(VLOOKUP(Table928394952[[#This Row],[Course]],COURSELIST[],6,FALSE),""))</calculatedColumnFormula>
    </tableColumn>
    <tableColumn id="7" name="Completed" dataDxfId="731">
      <calculatedColumnFormula>IF(Table928394952[[#This Row],[Course]]= "","",IFERROR(VLOOKUP(Table928394952[[#This Row],[Course]],COURSELIST[],7,FALSE),""))</calculatedColumnFormula>
    </tableColumn>
    <tableColumn id="8" name="GradePoints" dataDxfId="730">
      <calculatedColumnFormula>IF(Table928394952[[#This Row],[Course]]= "","",IFERROR(VLOOKUP(Table928394952[[#This Row],[Course]],COURSELIST[],8,FALSE),""))</calculatedColumnFormula>
    </tableColumn>
  </tableColumns>
  <tableStyleInfo name="TableStyleMedium5" showFirstColumn="0" showLastColumn="0" showRowStripes="1" showColumnStripes="0"/>
</table>
</file>

<file path=xl/tables/table20.xml><?xml version="1.0" encoding="utf-8"?>
<table xmlns="http://schemas.openxmlformats.org/spreadsheetml/2006/main" id="52" name="Table92839495253" displayName="Table92839495253" ref="AG32:AN39" totalsRowShown="0" headerRowDxfId="729" dataDxfId="728">
  <autoFilter ref="AG32:AN39"/>
  <tableColumns count="8">
    <tableColumn id="1" name="Course" dataDxfId="727"/>
    <tableColumn id="2" name="Name" dataDxfId="726">
      <calculatedColumnFormula>IF(Table92839495253[[#This Row],[Course]]= "","",IFERROR(VLOOKUP(Table92839495253[[#This Row],[Course]],COURSELIST[],2,FALSE),"Course Not Found!"))</calculatedColumnFormula>
    </tableColumn>
    <tableColumn id="3" name="Degree" dataDxfId="725">
      <calculatedColumnFormula>IF(Table92839495253[[#This Row],[Course]]= "","",IFERROR(VLOOKUP(Table92839495253[[#This Row],[Course]],COURSELIST[],3,FALSE),""))</calculatedColumnFormula>
    </tableColumn>
    <tableColumn id="4" name="Credits" dataDxfId="724">
      <calculatedColumnFormula>IF(Table92839495253[[#This Row],[Course]]= "","",IFERROR(VLOOKUP(Table92839495253[[#This Row],[Course]],COURSELIST[],4,FALSE),""))</calculatedColumnFormula>
    </tableColumn>
    <tableColumn id="5" name=" " dataDxfId="723"/>
    <tableColumn id="6" name="Enrolled" dataDxfId="722">
      <calculatedColumnFormula>IF(Table92839495253[[#This Row],[Course]]= "","",IFERROR(VLOOKUP(Table92839495253[[#This Row],[Course]],COURSELIST[],6,FALSE),""))</calculatedColumnFormula>
    </tableColumn>
    <tableColumn id="7" name="Completed" dataDxfId="721">
      <calculatedColumnFormula>IF(Table92839495253[[#This Row],[Course]]= "","",IFERROR(VLOOKUP(Table92839495253[[#This Row],[Course]],COURSELIST[],7,FALSE),""))</calculatedColumnFormula>
    </tableColumn>
    <tableColumn id="8" name="GradePoints" dataDxfId="720">
      <calculatedColumnFormula>IF(Table92839495253[[#This Row],[Course]]= "","",IFERROR(VLOOKUP(Table92839495253[[#This Row],[Course]],COURSELIST[],8,FALSE),""))</calculatedColumnFormula>
    </tableColumn>
  </tableColumns>
  <tableStyleInfo name="TableStyleMedium5" showFirstColumn="0" showLastColumn="0" showRowStripes="1" showColumnStripes="0"/>
</table>
</file>

<file path=xl/tables/table21.xml><?xml version="1.0" encoding="utf-8"?>
<table xmlns="http://schemas.openxmlformats.org/spreadsheetml/2006/main" id="53" name="Table9283949525354" displayName="Table9283949525354" ref="AG18:AN25" totalsRowShown="0" headerRowDxfId="719" dataDxfId="718">
  <autoFilter ref="AG18:AN25"/>
  <tableColumns count="8">
    <tableColumn id="1" name="Course" dataDxfId="717"/>
    <tableColumn id="2" name="Name" dataDxfId="716">
      <calculatedColumnFormula>IF(Table9283949525354[[#This Row],[Course]]= "","",IFERROR(VLOOKUP(Table9283949525354[[#This Row],[Course]],COURSELIST[],2,FALSE),"Course Not Found!"))</calculatedColumnFormula>
    </tableColumn>
    <tableColumn id="3" name="Degree" dataDxfId="715">
      <calculatedColumnFormula>IF(Table9283949525354[[#This Row],[Course]]= "","",IFERROR(VLOOKUP(Table9283949525354[[#This Row],[Course]],COURSELIST[],3,FALSE),""))</calculatedColumnFormula>
    </tableColumn>
    <tableColumn id="4" name="Credits" dataDxfId="714">
      <calculatedColumnFormula>IF(Table9283949525354[[#This Row],[Course]]= "","",IFERROR(VLOOKUP(Table9283949525354[[#This Row],[Course]],COURSELIST[],4,FALSE),""))</calculatedColumnFormula>
    </tableColumn>
    <tableColumn id="5" name=" " dataDxfId="713"/>
    <tableColumn id="6" name="Enrolled" dataDxfId="712">
      <calculatedColumnFormula>IF(Table9283949525354[[#This Row],[Course]]= "","",IFERROR(VLOOKUP(Table9283949525354[[#This Row],[Course]],COURSELIST[],6,FALSE),""))</calculatedColumnFormula>
    </tableColumn>
    <tableColumn id="7" name="Completed" dataDxfId="711">
      <calculatedColumnFormula>IF(Table9283949525354[[#This Row],[Course]]= "","",IFERROR(VLOOKUP(Table9283949525354[[#This Row],[Course]],COURSELIST[],7,FALSE),""))</calculatedColumnFormula>
    </tableColumn>
    <tableColumn id="8" name="GradePoints" dataDxfId="710">
      <calculatedColumnFormula>IF(Table9283949525354[[#This Row],[Course]]= "","",IFERROR(VLOOKUP(Table9283949525354[[#This Row],[Course]],COURSELIST[],8,FALSE),""))</calculatedColumnFormula>
    </tableColumn>
  </tableColumns>
  <tableStyleInfo name="TableStyleMedium5" showFirstColumn="0" showLastColumn="0" showRowStripes="1" showColumnStripes="0"/>
</table>
</file>

<file path=xl/tables/table22.xml><?xml version="1.0" encoding="utf-8"?>
<table xmlns="http://schemas.openxmlformats.org/spreadsheetml/2006/main" id="54" name="Table92839495255" displayName="Table92839495255" ref="AG60:AN67" totalsRowShown="0" headerRowDxfId="709" dataDxfId="708">
  <autoFilter ref="AG60:AN67"/>
  <tableColumns count="8">
    <tableColumn id="1" name="Course" dataDxfId="707"/>
    <tableColumn id="2" name="Name" dataDxfId="706">
      <calculatedColumnFormula>IF(Table92839495255[[#This Row],[Course]]= "","",IFERROR(VLOOKUP(Table92839495255[[#This Row],[Course]],COURSELIST[],2,FALSE),"Course Not Found!"))</calculatedColumnFormula>
    </tableColumn>
    <tableColumn id="3" name="Degree" dataDxfId="705">
      <calculatedColumnFormula>IF(Table92839495255[[#This Row],[Course]]= "","",IFERROR(VLOOKUP(Table92839495255[[#This Row],[Course]],COURSELIST[],3,FALSE),""))</calculatedColumnFormula>
    </tableColumn>
    <tableColumn id="4" name="Credits" dataDxfId="704">
      <calculatedColumnFormula>IF(Table92839495255[[#This Row],[Course]]= "","",IFERROR(VLOOKUP(Table92839495255[[#This Row],[Course]],COURSELIST[],4,FALSE),""))</calculatedColumnFormula>
    </tableColumn>
    <tableColumn id="5" name=" " dataDxfId="703"/>
    <tableColumn id="6" name="Enrolled" dataDxfId="702">
      <calculatedColumnFormula>IF(Table92839495255[[#This Row],[Course]]= "","",IFERROR(VLOOKUP(Table92839495255[[#This Row],[Course]],COURSELIST[],6,FALSE),""))</calculatedColumnFormula>
    </tableColumn>
    <tableColumn id="7" name="Completed" dataDxfId="701">
      <calculatedColumnFormula>IF(Table92839495255[[#This Row],[Course]]= "","",IFERROR(VLOOKUP(Table92839495255[[#This Row],[Course]],COURSELIST[],7,FALSE),""))</calculatedColumnFormula>
    </tableColumn>
    <tableColumn id="8" name="GradePoints" dataDxfId="700">
      <calculatedColumnFormula>IF(Table92839495255[[#This Row],[Course]]= "","",IFERROR(VLOOKUP(Table92839495255[[#This Row],[Course]],COURSELIST[],8,FALSE),""))</calculatedColumnFormula>
    </tableColumn>
  </tableColumns>
  <tableStyleInfo name="TableStyleMedium5" showFirstColumn="0" showLastColumn="0" showRowStripes="1" showColumnStripes="0"/>
</table>
</file>

<file path=xl/tables/table23.xml><?xml version="1.0" encoding="utf-8"?>
<table xmlns="http://schemas.openxmlformats.org/spreadsheetml/2006/main" id="1" name="Table92839495253542" displayName="Table92839495253542" ref="AG3:AN10" totalsRowShown="0" headerRowDxfId="699" dataDxfId="698">
  <autoFilter ref="AG3:AN10"/>
  <tableColumns count="8">
    <tableColumn id="1" name="Course" dataDxfId="697"/>
    <tableColumn id="2" name="Name" dataDxfId="696">
      <calculatedColumnFormula>IF(Table92839495253542[[#This Row],[Course]]= "","",IFERROR(VLOOKUP(Table92839495253542[[#This Row],[Course]],COURSELIST[],2,FALSE),"Course Not Found!"))</calculatedColumnFormula>
    </tableColumn>
    <tableColumn id="3" name="Degree" dataDxfId="695">
      <calculatedColumnFormula>IF(Table92839495253542[[#This Row],[Course]]= "","",IFERROR(VLOOKUP(Table92839495253542[[#This Row],[Course]],COURSELIST[],3,FALSE),""))</calculatedColumnFormula>
    </tableColumn>
    <tableColumn id="4" name="Credits" dataDxfId="694">
      <calculatedColumnFormula>IF(Table92839495253542[[#This Row],[Course]]= "","",IFERROR(VLOOKUP(Table92839495253542[[#This Row],[Course]],COURSELIST[],4,FALSE),""))</calculatedColumnFormula>
    </tableColumn>
    <tableColumn id="5" name=" " dataDxfId="693"/>
    <tableColumn id="6" name="Enrolled" dataDxfId="692">
      <calculatedColumnFormula>IF(Table92839495253542[[#This Row],[Course]]= "","",IFERROR(VLOOKUP(Table92839495253542[[#This Row],[Course]],COURSELIST[],6,FALSE),""))</calculatedColumnFormula>
    </tableColumn>
    <tableColumn id="7" name="Completed" dataDxfId="691">
      <calculatedColumnFormula>IF(Table92839495253542[[#This Row],[Course]]= "","",IFERROR(VLOOKUP(Table92839495253542[[#This Row],[Course]],COURSELIST[],7,FALSE),""))</calculatedColumnFormula>
    </tableColumn>
    <tableColumn id="8" name="GradePoints" dataDxfId="690">
      <calculatedColumnFormula>IF(Table92839495253542[[#This Row],[Course]]= "","",IFERROR(VLOOKUP(Table92839495253542[[#This Row],[Course]],COURSELIST[],8,FALSE),""))</calculatedColumnFormula>
    </tableColumn>
  </tableColumns>
  <tableStyleInfo name="TableStyleMedium5" showFirstColumn="0" showLastColumn="0" showRowStripes="1" showColumnStripes="0"/>
</table>
</file>

<file path=xl/tables/table24.xml><?xml version="1.0" encoding="utf-8"?>
<table xmlns="http://schemas.openxmlformats.org/spreadsheetml/2006/main" id="3" name="Table32221484" displayName="Table32221484" ref="C74:J81" totalsRowShown="0" headerRowDxfId="689" dataDxfId="688">
  <autoFilter ref="C74:J81"/>
  <tableColumns count="8">
    <tableColumn id="1" name="Course" dataDxfId="687"/>
    <tableColumn id="2" name="Name" dataDxfId="686">
      <calculatedColumnFormula>IF(Table32221484[[#This Row],[Course]]= "","",IFERROR(VLOOKUP(Table32221484[[#This Row],[Course]],COURSELIST[],2,FALSE),"Course Not Found!"))</calculatedColumnFormula>
    </tableColumn>
    <tableColumn id="3" name="Degree" dataDxfId="685">
      <calculatedColumnFormula>IF(Table32221484[[#This Row],[Course]]= "","",IFERROR(VLOOKUP(Table32221484[[#This Row],[Course]],COURSELIST[],3,FALSE),""))</calculatedColumnFormula>
    </tableColumn>
    <tableColumn id="4" name="Credits" dataDxfId="684">
      <calculatedColumnFormula>IF(Table32221484[[#This Row],[Course]]= "","",IFERROR(VLOOKUP(Table32221484[[#This Row],[Course]],COURSELIST[],4,FALSE),""))</calculatedColumnFormula>
    </tableColumn>
    <tableColumn id="5" name=" " dataDxfId="683"/>
    <tableColumn id="6" name="Enrolled" dataDxfId="682">
      <calculatedColumnFormula>IF(Table32221484[[#This Row],[Course]]= "","",IFERROR(VLOOKUP(Table32221484[[#This Row],[Course]],COURSELIST[],6,FALSE),""))</calculatedColumnFormula>
    </tableColumn>
    <tableColumn id="7" name="Completed" dataDxfId="681">
      <calculatedColumnFormula>IF(Table32221484[[#This Row],[Course]]= "","",IFERROR(VLOOKUP(Table32221484[[#This Row],[Course]],COURSELIST[],7,FALSE),""))</calculatedColumnFormula>
    </tableColumn>
    <tableColumn id="8" name="GradePoints" dataDxfId="680">
      <calculatedColumnFormula>IF(Table32221484[[#This Row],[Course]]= "","",IFERROR(VLOOKUP(Table32221484[[#This Row],[Course]],COURSELIST[],8,FALSE),""))</calculatedColumnFormula>
    </tableColumn>
  </tableColumns>
  <tableStyleInfo name="TableStyleLight3" showFirstColumn="0" showLastColumn="0" showRowStripes="1" showColumnStripes="0"/>
</table>
</file>

<file path=xl/tables/table25.xml><?xml version="1.0" encoding="utf-8"?>
<table xmlns="http://schemas.openxmlformats.org/spreadsheetml/2006/main" id="4" name="Table92839495" displayName="Table92839495" ref="W74:AD81" totalsRowShown="0" headerRowDxfId="679" dataDxfId="678">
  <autoFilter ref="W74:AD81"/>
  <tableColumns count="8">
    <tableColumn id="1" name="Course" dataDxfId="677"/>
    <tableColumn id="2" name="Name" dataDxfId="676">
      <calculatedColumnFormula>IF(Table92839495[[#This Row],[Course]]= "","",IFERROR(VLOOKUP(Table92839495[[#This Row],[Course]],COURSELIST[],2,FALSE),"Course Not Found!"))</calculatedColumnFormula>
    </tableColumn>
    <tableColumn id="3" name="Degree" dataDxfId="675">
      <calculatedColumnFormula>IF(Table92839495[[#This Row],[Course]]= "","",IFERROR(VLOOKUP(Table92839495[[#This Row],[Course]],COURSELIST[],3,FALSE),""))</calculatedColumnFormula>
    </tableColumn>
    <tableColumn id="4" name="Credits" dataDxfId="674">
      <calculatedColumnFormula>IF(Table92839495[[#This Row],[Course]]= "","",IFERROR(VLOOKUP(Table92839495[[#This Row],[Course]],COURSELIST[],4,FALSE),""))</calculatedColumnFormula>
    </tableColumn>
    <tableColumn id="5" name=" " dataDxfId="673"/>
    <tableColumn id="6" name="Enrolled" dataDxfId="672">
      <calculatedColumnFormula>IF(Table92839495[[#This Row],[Course]]= "","",IFERROR(VLOOKUP(Table92839495[[#This Row],[Course]],COURSELIST[],6,FALSE),""))</calculatedColumnFormula>
    </tableColumn>
    <tableColumn id="7" name="Completed" dataDxfId="671">
      <calculatedColumnFormula>IF(Table92839495[[#This Row],[Course]]= "","",IFERROR(VLOOKUP(Table92839495[[#This Row],[Course]],COURSELIST[],7,FALSE),""))</calculatedColumnFormula>
    </tableColumn>
    <tableColumn id="8" name="GradePoints" dataDxfId="670">
      <calculatedColumnFormula>IF(Table92839495[[#This Row],[Course]]= "","",IFERROR(VLOOKUP(Table92839495[[#This Row],[Course]],COURSELIST[],8,FALSE),""))</calculatedColumnFormula>
    </tableColumn>
  </tableColumns>
  <tableStyleInfo name="TableStyleLight7" showFirstColumn="0" showLastColumn="0" showRowStripes="1" showColumnStripes="0"/>
</table>
</file>

<file path=xl/tables/table26.xml><?xml version="1.0" encoding="utf-8"?>
<table xmlns="http://schemas.openxmlformats.org/spreadsheetml/2006/main" id="5" name="Table143344506" displayName="Table143344506" ref="M74:T81" totalsRowShown="0" headerRowDxfId="669" dataDxfId="668">
  <autoFilter ref="M74:T81"/>
  <tableColumns count="8">
    <tableColumn id="1" name="Course" dataDxfId="667"/>
    <tableColumn id="2" name="Name" dataDxfId="666">
      <calculatedColumnFormula>IF(Table143344506[[#This Row],[Course]]= "","",IFERROR(VLOOKUP(Table143344506[[#This Row],[Course]],COURSELIST[],2,FALSE),"Course Not Found!"))</calculatedColumnFormula>
    </tableColumn>
    <tableColumn id="3" name="Degree" dataDxfId="665">
      <calculatedColumnFormula>IF(Table143344506[[#This Row],[Course]]= "","",IFERROR(VLOOKUP(Table143344506[[#This Row],[Course]],COURSELIST[],3,FALSE),""))</calculatedColumnFormula>
    </tableColumn>
    <tableColumn id="4" name="Credits" dataDxfId="664">
      <calculatedColumnFormula>IF(Table143344506[[#This Row],[Course]]= "","",IFERROR(VLOOKUP(Table143344506[[#This Row],[Course]],COURSELIST[],4,FALSE),""))</calculatedColumnFormula>
    </tableColumn>
    <tableColumn id="5" name=" " dataDxfId="663"/>
    <tableColumn id="6" name="Enrolled" dataDxfId="662">
      <calculatedColumnFormula>IF(Table143344506[[#This Row],[Course]]= "","",IFERROR(VLOOKUP(Table143344506[[#This Row],[Course]],COURSELIST[],6,FALSE),""))</calculatedColumnFormula>
    </tableColumn>
    <tableColumn id="7" name="Completed" dataDxfId="661">
      <calculatedColumnFormula>IF(Table143344506[[#This Row],[Course]]= "","",IFERROR(VLOOKUP(Table143344506[[#This Row],[Course]],COURSELIST[],7,FALSE),""))</calculatedColumnFormula>
    </tableColumn>
    <tableColumn id="8" name="GradePoints" dataDxfId="660">
      <calculatedColumnFormula>IF(Table143344506[[#This Row],[Course]]= "","",IFERROR(VLOOKUP(Table143344506[[#This Row],[Course]],COURSELIST[],8,FALSE),""))</calculatedColumnFormula>
    </tableColumn>
  </tableColumns>
  <tableStyleInfo name="TableStyleLight2" showFirstColumn="0" showLastColumn="0" showRowStripes="1" showColumnStripes="0"/>
</table>
</file>

<file path=xl/tables/table27.xml><?xml version="1.0" encoding="utf-8"?>
<table xmlns="http://schemas.openxmlformats.org/spreadsheetml/2006/main" id="6" name="Table928394952557" displayName="Table928394952557" ref="AG74:AN81" totalsRowShown="0" headerRowDxfId="659" dataDxfId="658">
  <autoFilter ref="AG74:AN81"/>
  <tableColumns count="8">
    <tableColumn id="1" name="Course" dataDxfId="657"/>
    <tableColumn id="2" name="Name" dataDxfId="656">
      <calculatedColumnFormula>IF(Table928394952557[[#This Row],[Course]]= "","",IFERROR(VLOOKUP(Table928394952557[[#This Row],[Course]],COURSELIST[],2,FALSE),"Course Not Found!"))</calculatedColumnFormula>
    </tableColumn>
    <tableColumn id="3" name="Degree" dataDxfId="655">
      <calculatedColumnFormula>IF(Table928394952557[[#This Row],[Course]]= "","",IFERROR(VLOOKUP(Table928394952557[[#This Row],[Course]],COURSELIST[],3,FALSE),""))</calculatedColumnFormula>
    </tableColumn>
    <tableColumn id="4" name="Credits" dataDxfId="654">
      <calculatedColumnFormula>IF(Table928394952557[[#This Row],[Course]]= "","",IFERROR(VLOOKUP(Table928394952557[[#This Row],[Course]],COURSELIST[],4,FALSE),""))</calculatedColumnFormula>
    </tableColumn>
    <tableColumn id="5" name=" " dataDxfId="653"/>
    <tableColumn id="6" name="Enrolled" dataDxfId="652">
      <calculatedColumnFormula>IF(Table928394952557[[#This Row],[Course]]= "","",IFERROR(VLOOKUP(Table928394952557[[#This Row],[Course]],COURSELIST[],6,FALSE),""))</calculatedColumnFormula>
    </tableColumn>
    <tableColumn id="7" name="Completed" dataDxfId="651">
      <calculatedColumnFormula>IF(Table928394952557[[#This Row],[Course]]= "","",IFERROR(VLOOKUP(Table928394952557[[#This Row],[Course]],COURSELIST[],7,FALSE),""))</calculatedColumnFormula>
    </tableColumn>
    <tableColumn id="8" name="GradePoints" dataDxfId="650">
      <calculatedColumnFormula>IF(Table928394952557[[#This Row],[Course]]= "","",IFERROR(VLOOKUP(Table928394952557[[#This Row],[Course]],COURSELIST[],8,FALSE),""))</calculatedColumnFormula>
    </tableColumn>
  </tableColumns>
  <tableStyleInfo name="TableStyleMedium5" showFirstColumn="0" showLastColumn="0" showRowStripes="1" showColumnStripes="0"/>
</table>
</file>

<file path=xl/tables/table28.xml><?xml version="1.0" encoding="utf-8"?>
<table xmlns="http://schemas.openxmlformats.org/spreadsheetml/2006/main" id="7" name="Table32221488" displayName="Table32221488" ref="C88:J95" totalsRowShown="0" headerRowDxfId="649" dataDxfId="648">
  <autoFilter ref="C88:J95"/>
  <tableColumns count="8">
    <tableColumn id="1" name="Course" dataDxfId="647"/>
    <tableColumn id="2" name="Name" dataDxfId="646">
      <calculatedColumnFormula>IF(Table32221488[[#This Row],[Course]]= "","",IFERROR(VLOOKUP(Table32221488[[#This Row],[Course]],COURSELIST[],2,FALSE),"Course Not Found!"))</calculatedColumnFormula>
    </tableColumn>
    <tableColumn id="3" name="Degree" dataDxfId="645">
      <calculatedColumnFormula>IF(Table32221488[[#This Row],[Course]]= "","",IFERROR(VLOOKUP(Table32221488[[#This Row],[Course]],COURSELIST[],3,FALSE),""))</calculatedColumnFormula>
    </tableColumn>
    <tableColumn id="4" name="Credits" dataDxfId="644">
      <calculatedColumnFormula>IF(Table32221488[[#This Row],[Course]]= "","",IFERROR(VLOOKUP(Table32221488[[#This Row],[Course]],COURSELIST[],4,FALSE),""))</calculatedColumnFormula>
    </tableColumn>
    <tableColumn id="5" name=" " dataDxfId="643"/>
    <tableColumn id="6" name="Enrolled" dataDxfId="642">
      <calculatedColumnFormula>IF(Table32221488[[#This Row],[Course]]= "","",IFERROR(VLOOKUP(Table32221488[[#This Row],[Course]],COURSELIST[],6,FALSE),""))</calculatedColumnFormula>
    </tableColumn>
    <tableColumn id="7" name="Completed" dataDxfId="641">
      <calculatedColumnFormula>IF(Table32221488[[#This Row],[Course]]= "","",IFERROR(VLOOKUP(Table32221488[[#This Row],[Course]],COURSELIST[],7,FALSE),""))</calculatedColumnFormula>
    </tableColumn>
    <tableColumn id="8" name="GradePoints" dataDxfId="640">
      <calculatedColumnFormula>IF(Table32221488[[#This Row],[Course]]= "","",IFERROR(VLOOKUP(Table32221488[[#This Row],[Course]],COURSELIST[],8,FALSE),""))</calculatedColumnFormula>
    </tableColumn>
  </tableColumns>
  <tableStyleInfo name="TableStyleLight3" showFirstColumn="0" showLastColumn="0" showRowStripes="1" showColumnStripes="0"/>
</table>
</file>

<file path=xl/tables/table29.xml><?xml version="1.0" encoding="utf-8"?>
<table xmlns="http://schemas.openxmlformats.org/spreadsheetml/2006/main" id="8" name="Table92839499" displayName="Table92839499" ref="W88:AD95" totalsRowShown="0" headerRowDxfId="639" dataDxfId="638">
  <autoFilter ref="W88:AD95"/>
  <tableColumns count="8">
    <tableColumn id="1" name="Course" dataDxfId="637"/>
    <tableColumn id="2" name="Name" dataDxfId="636">
      <calculatedColumnFormula>IF(Table92839499[[#This Row],[Course]]= "","",IFERROR(VLOOKUP(Table92839499[[#This Row],[Course]],COURSELIST[],2,FALSE),"Course Not Found!"))</calculatedColumnFormula>
    </tableColumn>
    <tableColumn id="3" name="Degree" dataDxfId="635">
      <calculatedColumnFormula>IF(Table92839499[[#This Row],[Course]]= "","",IFERROR(VLOOKUP(Table92839499[[#This Row],[Course]],COURSELIST[],3,FALSE),""))</calculatedColumnFormula>
    </tableColumn>
    <tableColumn id="4" name="Credits" dataDxfId="634">
      <calculatedColumnFormula>IF(Table92839499[[#This Row],[Course]]= "","",IFERROR(VLOOKUP(Table92839499[[#This Row],[Course]],COURSELIST[],4,FALSE),""))</calculatedColumnFormula>
    </tableColumn>
    <tableColumn id="5" name=" " dataDxfId="633"/>
    <tableColumn id="6" name="Enrolled" dataDxfId="632">
      <calculatedColumnFormula>IF(Table92839499[[#This Row],[Course]]= "","",IFERROR(VLOOKUP(Table92839499[[#This Row],[Course]],COURSELIST[],6,FALSE),""))</calculatedColumnFormula>
    </tableColumn>
    <tableColumn id="7" name="Completed" dataDxfId="631">
      <calculatedColumnFormula>IF(Table92839499[[#This Row],[Course]]= "","",IFERROR(VLOOKUP(Table92839499[[#This Row],[Course]],COURSELIST[],7,FALSE),""))</calculatedColumnFormula>
    </tableColumn>
    <tableColumn id="8" name="GradePoints" dataDxfId="630">
      <calculatedColumnFormula>IF(Table92839499[[#This Row],[Course]]= "","",IFERROR(VLOOKUP(Table92839499[[#This Row],[Course]],COURSELIST[],8,FALSE),""))</calculatedColumnFormula>
    </tableColumn>
  </tableColumns>
  <tableStyleInfo name="TableStyleLight7" showFirstColumn="0" showLastColumn="0" showRowStripes="1" showColumnStripes="0"/>
</table>
</file>

<file path=xl/tables/table30.xml><?xml version="1.0" encoding="utf-8"?>
<table xmlns="http://schemas.openxmlformats.org/spreadsheetml/2006/main" id="9" name="Table1433445010" displayName="Table1433445010" ref="M88:T95" totalsRowShown="0" headerRowDxfId="629" dataDxfId="628">
  <autoFilter ref="M88:T95"/>
  <tableColumns count="8">
    <tableColumn id="1" name="Course" dataDxfId="627"/>
    <tableColumn id="2" name="Name" dataDxfId="626">
      <calculatedColumnFormula>IF(Table1433445010[[#This Row],[Course]]= "","",IFERROR(VLOOKUP(Table1433445010[[#This Row],[Course]],COURSELIST[],2,FALSE),"Course Not Found!"))</calculatedColumnFormula>
    </tableColumn>
    <tableColumn id="3" name="Degree" dataDxfId="625">
      <calculatedColumnFormula>IF(Table1433445010[[#This Row],[Course]]= "","",IFERROR(VLOOKUP(Table1433445010[[#This Row],[Course]],COURSELIST[],3,FALSE),""))</calculatedColumnFormula>
    </tableColumn>
    <tableColumn id="4" name="Credits" dataDxfId="624">
      <calculatedColumnFormula>IF(Table1433445010[[#This Row],[Course]]= "","",IFERROR(VLOOKUP(Table1433445010[[#This Row],[Course]],COURSELIST[],4,FALSE),""))</calculatedColumnFormula>
    </tableColumn>
    <tableColumn id="5" name=" " dataDxfId="623"/>
    <tableColumn id="6" name="Enrolled" dataDxfId="622">
      <calculatedColumnFormula>IF(Table1433445010[[#This Row],[Course]]= "","",IFERROR(VLOOKUP(Table1433445010[[#This Row],[Course]],COURSELIST[],6,FALSE),""))</calculatedColumnFormula>
    </tableColumn>
    <tableColumn id="7" name="Completed" dataDxfId="621">
      <calculatedColumnFormula>IF(Table1433445010[[#This Row],[Course]]= "","",IFERROR(VLOOKUP(Table1433445010[[#This Row],[Course]],COURSELIST[],7,FALSE),""))</calculatedColumnFormula>
    </tableColumn>
    <tableColumn id="8" name="GradePoints" dataDxfId="620">
      <calculatedColumnFormula>IF(Table1433445010[[#This Row],[Course]]= "","",IFERROR(VLOOKUP(Table1433445010[[#This Row],[Course]],COURSELIST[],8,FALSE),""))</calculatedColumnFormula>
    </tableColumn>
  </tableColumns>
  <tableStyleInfo name="TableStyleLight2" showFirstColumn="0" showLastColumn="0" showRowStripes="1" showColumnStripes="0"/>
</table>
</file>

<file path=xl/tables/table31.xml><?xml version="1.0" encoding="utf-8"?>
<table xmlns="http://schemas.openxmlformats.org/spreadsheetml/2006/main" id="10" name="Table9283949525511" displayName="Table9283949525511" ref="AG88:AN95" totalsRowShown="0" headerRowDxfId="619" dataDxfId="618">
  <autoFilter ref="AG88:AN95"/>
  <tableColumns count="8">
    <tableColumn id="1" name="Course" dataDxfId="617"/>
    <tableColumn id="2" name="Name" dataDxfId="616">
      <calculatedColumnFormula>IF(Table9283949525511[[#This Row],[Course]]= "","",IFERROR(VLOOKUP(Table9283949525511[[#This Row],[Course]],COURSELIST[],2,FALSE),"Course Not Found!"))</calculatedColumnFormula>
    </tableColumn>
    <tableColumn id="3" name="Degree" dataDxfId="615">
      <calculatedColumnFormula>IF(Table9283949525511[[#This Row],[Course]]= "","",IFERROR(VLOOKUP(Table9283949525511[[#This Row],[Course]],COURSELIST[],3,FALSE),""))</calculatedColumnFormula>
    </tableColumn>
    <tableColumn id="4" name="Credits" dataDxfId="614">
      <calculatedColumnFormula>IF(Table9283949525511[[#This Row],[Course]]= "","",IFERROR(VLOOKUP(Table9283949525511[[#This Row],[Course]],COURSELIST[],4,FALSE),""))</calculatedColumnFormula>
    </tableColumn>
    <tableColumn id="5" name=" " dataDxfId="613"/>
    <tableColumn id="6" name="Enrolled" dataDxfId="612">
      <calculatedColumnFormula>IF(Table9283949525511[[#This Row],[Course]]= "","",IFERROR(VLOOKUP(Table9283949525511[[#This Row],[Course]],COURSELIST[],6,FALSE),""))</calculatedColumnFormula>
    </tableColumn>
    <tableColumn id="7" name="Completed" dataDxfId="611">
      <calculatedColumnFormula>IF(Table9283949525511[[#This Row],[Course]]= "","",IFERROR(VLOOKUP(Table9283949525511[[#This Row],[Course]],COURSELIST[],7,FALSE),""))</calculatedColumnFormula>
    </tableColumn>
    <tableColumn id="8" name="GradePoints" dataDxfId="610">
      <calculatedColumnFormula>IF(Table9283949525511[[#This Row],[Course]]= "","",IFERROR(VLOOKUP(Table9283949525511[[#This Row],[Course]],COURSELIST[],8,FALSE),""))</calculatedColumnFormula>
    </tableColumn>
  </tableColumns>
  <tableStyleInfo name="TableStyleMedium5" showFirstColumn="0" showLastColumn="0" showRowStripes="1" showColumnStripes="0"/>
</table>
</file>

<file path=xl/tables/table32.xml><?xml version="1.0" encoding="utf-8"?>
<table xmlns="http://schemas.openxmlformats.org/spreadsheetml/2006/main" id="11" name="Table322214812" displayName="Table322214812" ref="C102:J109" totalsRowShown="0" headerRowDxfId="609" dataDxfId="608">
  <autoFilter ref="C102:J109"/>
  <tableColumns count="8">
    <tableColumn id="1" name="Course" dataDxfId="607"/>
    <tableColumn id="2" name="Name" dataDxfId="606">
      <calculatedColumnFormula>IF(Table322214812[[#This Row],[Course]]= "","",IFERROR(VLOOKUP(Table322214812[[#This Row],[Course]],COURSELIST[],2,FALSE),"Course Not Found!"))</calculatedColumnFormula>
    </tableColumn>
    <tableColumn id="3" name="Degree" dataDxfId="605">
      <calculatedColumnFormula>IF(Table322214812[[#This Row],[Course]]= "","",IFERROR(VLOOKUP(Table322214812[[#This Row],[Course]],COURSELIST[],3,FALSE),""))</calculatedColumnFormula>
    </tableColumn>
    <tableColumn id="4" name="Credits" dataDxfId="604">
      <calculatedColumnFormula>IF(Table322214812[[#This Row],[Course]]= "","",IFERROR(VLOOKUP(Table322214812[[#This Row],[Course]],COURSELIST[],4,FALSE),""))</calculatedColumnFormula>
    </tableColumn>
    <tableColumn id="5" name=" " dataDxfId="603"/>
    <tableColumn id="6" name="Enrolled" dataDxfId="602">
      <calculatedColumnFormula>IF(Table322214812[[#This Row],[Course]]= "","",IFERROR(VLOOKUP(Table322214812[[#This Row],[Course]],COURSELIST[],6,FALSE),""))</calculatedColumnFormula>
    </tableColumn>
    <tableColumn id="7" name="Completed" dataDxfId="601">
      <calculatedColumnFormula>IF(Table322214812[[#This Row],[Course]]= "","",IFERROR(VLOOKUP(Table322214812[[#This Row],[Course]],COURSELIST[],7,FALSE),""))</calculatedColumnFormula>
    </tableColumn>
    <tableColumn id="8" name="GradePoints" dataDxfId="600">
      <calculatedColumnFormula>IF(Table322214812[[#This Row],[Course]]= "","",IFERROR(VLOOKUP(Table322214812[[#This Row],[Course]],COURSELIST[],8,FALSE),""))</calculatedColumnFormula>
    </tableColumn>
  </tableColumns>
  <tableStyleInfo name="TableStyleLight3" showFirstColumn="0" showLastColumn="0" showRowStripes="1" showColumnStripes="0"/>
</table>
</file>

<file path=xl/tables/table33.xml><?xml version="1.0" encoding="utf-8"?>
<table xmlns="http://schemas.openxmlformats.org/spreadsheetml/2006/main" id="12" name="Table928394913" displayName="Table928394913" ref="W102:AD109" totalsRowShown="0" headerRowDxfId="599" dataDxfId="598">
  <autoFilter ref="W102:AD109"/>
  <tableColumns count="8">
    <tableColumn id="1" name="Course" dataDxfId="597"/>
    <tableColumn id="2" name="Name" dataDxfId="596">
      <calculatedColumnFormula>IF(Table928394913[[#This Row],[Course]]= "","",IFERROR(VLOOKUP(Table928394913[[#This Row],[Course]],COURSELIST[],2,FALSE),"Course Not Found!"))</calculatedColumnFormula>
    </tableColumn>
    <tableColumn id="3" name="Degree" dataDxfId="595">
      <calculatedColumnFormula>IF(Table928394913[[#This Row],[Course]]= "","",IFERROR(VLOOKUP(Table928394913[[#This Row],[Course]],COURSELIST[],3,FALSE),""))</calculatedColumnFormula>
    </tableColumn>
    <tableColumn id="4" name="Credits" dataDxfId="594">
      <calculatedColumnFormula>IF(Table928394913[[#This Row],[Course]]= "","",IFERROR(VLOOKUP(Table928394913[[#This Row],[Course]],COURSELIST[],4,FALSE),""))</calculatedColumnFormula>
    </tableColumn>
    <tableColumn id="5" name=" " dataDxfId="593"/>
    <tableColumn id="6" name="Enrolled" dataDxfId="592">
      <calculatedColumnFormula>IF(Table928394913[[#This Row],[Course]]= "","",IFERROR(VLOOKUP(Table928394913[[#This Row],[Course]],COURSELIST[],6,FALSE),""))</calculatedColumnFormula>
    </tableColumn>
    <tableColumn id="7" name="Completed" dataDxfId="591">
      <calculatedColumnFormula>IF(Table928394913[[#This Row],[Course]]= "","",IFERROR(VLOOKUP(Table928394913[[#This Row],[Course]],COURSELIST[],7,FALSE),""))</calculatedColumnFormula>
    </tableColumn>
    <tableColumn id="8" name="GradePoints" dataDxfId="590">
      <calculatedColumnFormula>IF(Table928394913[[#This Row],[Course]]= "","",IFERROR(VLOOKUP(Table928394913[[#This Row],[Course]],COURSELIST[],8,FALSE),""))</calculatedColumnFormula>
    </tableColumn>
  </tableColumns>
  <tableStyleInfo name="TableStyleLight7" showFirstColumn="0" showLastColumn="0" showRowStripes="1" showColumnStripes="0"/>
</table>
</file>

<file path=xl/tables/table34.xml><?xml version="1.0" encoding="utf-8"?>
<table xmlns="http://schemas.openxmlformats.org/spreadsheetml/2006/main" id="13" name="Table1433445014" displayName="Table1433445014" ref="M102:T109" totalsRowShown="0" headerRowDxfId="589" dataDxfId="588">
  <autoFilter ref="M102:T109"/>
  <tableColumns count="8">
    <tableColumn id="1" name="Course" dataDxfId="587"/>
    <tableColumn id="2" name="Name" dataDxfId="586">
      <calculatedColumnFormula>IF(Table1433445014[[#This Row],[Course]]= "","",IFERROR(VLOOKUP(Table1433445014[[#This Row],[Course]],COURSELIST[],2,FALSE),"Course Not Found!"))</calculatedColumnFormula>
    </tableColumn>
    <tableColumn id="3" name="Degree" dataDxfId="585">
      <calculatedColumnFormula>IF(Table1433445014[[#This Row],[Course]]= "","",IFERROR(VLOOKUP(Table1433445014[[#This Row],[Course]],COURSELIST[],3,FALSE),""))</calculatedColumnFormula>
    </tableColumn>
    <tableColumn id="4" name="Credits" dataDxfId="584">
      <calculatedColumnFormula>IF(Table1433445014[[#This Row],[Course]]= "","",IFERROR(VLOOKUP(Table1433445014[[#This Row],[Course]],COURSELIST[],4,FALSE),""))</calculatedColumnFormula>
    </tableColumn>
    <tableColumn id="5" name=" " dataDxfId="583"/>
    <tableColumn id="6" name="Enrolled" dataDxfId="582">
      <calculatedColumnFormula>IF(Table1433445014[[#This Row],[Course]]= "","",IFERROR(VLOOKUP(Table1433445014[[#This Row],[Course]],COURSELIST[],6,FALSE),""))</calculatedColumnFormula>
    </tableColumn>
    <tableColumn id="7" name="Completed" dataDxfId="581">
      <calculatedColumnFormula>IF(Table1433445014[[#This Row],[Course]]= "","",IFERROR(VLOOKUP(Table1433445014[[#This Row],[Course]],COURSELIST[],7,FALSE),""))</calculatedColumnFormula>
    </tableColumn>
    <tableColumn id="8" name="GradePoints" dataDxfId="580">
      <calculatedColumnFormula>IF(Table1433445014[[#This Row],[Course]]= "","",IFERROR(VLOOKUP(Table1433445014[[#This Row],[Course]],COURSELIST[],8,FALSE),""))</calculatedColumnFormula>
    </tableColumn>
  </tableColumns>
  <tableStyleInfo name="TableStyleLight2" showFirstColumn="0" showLastColumn="0" showRowStripes="1" showColumnStripes="0"/>
</table>
</file>

<file path=xl/tables/table35.xml><?xml version="1.0" encoding="utf-8"?>
<table xmlns="http://schemas.openxmlformats.org/spreadsheetml/2006/main" id="14" name="Table9283949525515" displayName="Table9283949525515" ref="AG102:AN109" totalsRowShown="0" headerRowDxfId="579" dataDxfId="578">
  <autoFilter ref="AG102:AN109"/>
  <tableColumns count="8">
    <tableColumn id="1" name="Course" dataDxfId="577"/>
    <tableColumn id="2" name="Name" dataDxfId="576">
      <calculatedColumnFormula>IF(Table9283949525515[[#This Row],[Course]]= "","",IFERROR(VLOOKUP(Table9283949525515[[#This Row],[Course]],COURSELIST[],2,FALSE),"Course Not Found!"))</calculatedColumnFormula>
    </tableColumn>
    <tableColumn id="3" name="Degree" dataDxfId="575">
      <calculatedColumnFormula>IF(Table9283949525515[[#This Row],[Course]]= "","",IFERROR(VLOOKUP(Table9283949525515[[#This Row],[Course]],COURSELIST[],3,FALSE),""))</calculatedColumnFormula>
    </tableColumn>
    <tableColumn id="4" name="Credits" dataDxfId="574">
      <calculatedColumnFormula>IF(Table9283949525515[[#This Row],[Course]]= "","",IFERROR(VLOOKUP(Table9283949525515[[#This Row],[Course]],COURSELIST[],4,FALSE),""))</calculatedColumnFormula>
    </tableColumn>
    <tableColumn id="5" name=" " dataDxfId="573"/>
    <tableColumn id="6" name="Enrolled" dataDxfId="572">
      <calculatedColumnFormula>IF(Table9283949525515[[#This Row],[Course]]= "","",IFERROR(VLOOKUP(Table9283949525515[[#This Row],[Course]],COURSELIST[],6,FALSE),""))</calculatedColumnFormula>
    </tableColumn>
    <tableColumn id="7" name="Completed" dataDxfId="571">
      <calculatedColumnFormula>IF(Table9283949525515[[#This Row],[Course]]= "","",IFERROR(VLOOKUP(Table9283949525515[[#This Row],[Course]],COURSELIST[],7,FALSE),""))</calculatedColumnFormula>
    </tableColumn>
    <tableColumn id="8" name="GradePoints" dataDxfId="570">
      <calculatedColumnFormula>IF(Table9283949525515[[#This Row],[Course]]= "","",IFERROR(VLOOKUP(Table9283949525515[[#This Row],[Course]],COURSELIST[],8,FALSE),""))</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ickbolles.com/" TargetMode="External"/><Relationship Id="rId1" Type="http://schemas.openxmlformats.org/officeDocument/2006/relationships/hyperlink" Target="http://nickbolles.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26" Type="http://schemas.openxmlformats.org/officeDocument/2006/relationships/table" Target="../tables/table28.xml"/><Relationship Id="rId3" Type="http://schemas.openxmlformats.org/officeDocument/2006/relationships/table" Target="../tables/table5.xml"/><Relationship Id="rId21" Type="http://schemas.openxmlformats.org/officeDocument/2006/relationships/table" Target="../tables/table23.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2" Type="http://schemas.openxmlformats.org/officeDocument/2006/relationships/table" Target="../tables/table4.x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printerSettings" Target="../printerSettings/printerSettings3.bin"/><Relationship Id="rId6" Type="http://schemas.openxmlformats.org/officeDocument/2006/relationships/table" Target="../tables/table8.xml"/><Relationship Id="rId11" Type="http://schemas.openxmlformats.org/officeDocument/2006/relationships/table" Target="../tables/table13.xml"/><Relationship Id="rId24" Type="http://schemas.openxmlformats.org/officeDocument/2006/relationships/table" Target="../tables/table26.xml"/><Relationship Id="rId32" Type="http://schemas.openxmlformats.org/officeDocument/2006/relationships/table" Target="../tables/table34.xml"/><Relationship Id="rId5" Type="http://schemas.openxmlformats.org/officeDocument/2006/relationships/table" Target="../tables/table7.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10" Type="http://schemas.openxmlformats.org/officeDocument/2006/relationships/table" Target="../tables/table12.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51"/>
  <sheetViews>
    <sheetView workbookViewId="0">
      <selection activeCell="Q8" sqref="Q8"/>
    </sheetView>
  </sheetViews>
  <sheetFormatPr defaultRowHeight="15"/>
  <cols>
    <col min="1" max="1" width="4.140625" style="57" bestFit="1" customWidth="1"/>
    <col min="2" max="14" width="10.7109375" style="57" customWidth="1"/>
    <col min="15" max="16384" width="9.140625" style="57"/>
  </cols>
  <sheetData>
    <row r="1" spans="1:14" ht="46.5">
      <c r="A1" s="160" t="s">
        <v>101</v>
      </c>
      <c r="B1" s="160"/>
      <c r="C1" s="160"/>
      <c r="D1" s="160"/>
      <c r="E1" s="160"/>
      <c r="F1" s="160"/>
      <c r="G1" s="160"/>
      <c r="H1" s="160"/>
      <c r="I1" s="160"/>
      <c r="J1" s="160"/>
      <c r="K1" s="160"/>
      <c r="L1" s="160"/>
      <c r="M1" s="60"/>
    </row>
    <row r="2" spans="1:14" ht="20.25" customHeight="1">
      <c r="A2" s="58"/>
      <c r="B2" s="58"/>
      <c r="C2" s="58"/>
      <c r="D2" s="161" t="s">
        <v>83</v>
      </c>
      <c r="E2" s="161"/>
      <c r="F2" s="161"/>
      <c r="G2" s="59" t="s">
        <v>82</v>
      </c>
      <c r="H2" s="59"/>
      <c r="I2" s="60"/>
      <c r="J2" s="60"/>
      <c r="K2" s="58"/>
      <c r="L2" s="58"/>
      <c r="M2" s="60"/>
    </row>
    <row r="3" spans="1:14" ht="20.25" customHeight="1">
      <c r="A3" s="58"/>
      <c r="B3" s="58"/>
      <c r="C3" s="58"/>
      <c r="D3" s="88"/>
      <c r="E3" s="88"/>
      <c r="F3" s="88"/>
      <c r="G3" s="59"/>
      <c r="H3" s="59"/>
      <c r="I3" s="60"/>
      <c r="J3" s="60"/>
      <c r="K3" s="58"/>
      <c r="L3" s="58"/>
      <c r="M3" s="60"/>
    </row>
    <row r="4" spans="1:14" ht="20.25" customHeight="1">
      <c r="A4" s="58"/>
      <c r="B4" s="58"/>
      <c r="C4" s="58"/>
      <c r="D4" s="163" t="s">
        <v>114</v>
      </c>
      <c r="E4" s="163"/>
      <c r="F4" s="163"/>
      <c r="G4" s="163"/>
      <c r="H4" s="163"/>
      <c r="I4" s="163"/>
      <c r="J4" s="84"/>
      <c r="K4" s="58"/>
      <c r="L4" s="58"/>
      <c r="M4" s="60"/>
    </row>
    <row r="5" spans="1:14" ht="20.25" customHeight="1">
      <c r="A5" s="58"/>
      <c r="B5" s="58"/>
      <c r="C5" s="58"/>
      <c r="D5" s="163"/>
      <c r="E5" s="163"/>
      <c r="F5" s="163"/>
      <c r="G5" s="163"/>
      <c r="H5" s="163"/>
      <c r="I5" s="163"/>
      <c r="J5" s="85"/>
      <c r="K5" s="58"/>
      <c r="L5" s="58"/>
      <c r="M5" s="60"/>
    </row>
    <row r="6" spans="1:14" ht="15.75" thickBot="1">
      <c r="A6" s="60"/>
      <c r="B6" s="60"/>
      <c r="C6" s="60"/>
      <c r="D6" s="60"/>
      <c r="E6" s="60"/>
      <c r="F6" s="60"/>
      <c r="G6" s="60"/>
      <c r="H6" s="60"/>
      <c r="I6" s="60"/>
      <c r="J6" s="60"/>
      <c r="K6" s="60"/>
      <c r="L6" s="60"/>
      <c r="M6" s="60"/>
    </row>
    <row r="7" spans="1:14" ht="32.25" thickTop="1">
      <c r="A7" s="60"/>
      <c r="B7" s="60"/>
      <c r="C7" s="152" t="s">
        <v>102</v>
      </c>
      <c r="D7" s="153"/>
      <c r="E7" s="153"/>
      <c r="F7" s="153"/>
      <c r="G7" s="153"/>
      <c r="H7" s="153"/>
      <c r="I7" s="153"/>
      <c r="J7" s="154"/>
      <c r="K7" s="60"/>
      <c r="L7" s="60"/>
      <c r="M7" s="60"/>
    </row>
    <row r="8" spans="1:14" ht="23.25">
      <c r="A8" s="60"/>
      <c r="B8" s="60"/>
      <c r="C8" s="155" t="s">
        <v>68</v>
      </c>
      <c r="D8" s="156"/>
      <c r="E8" s="156"/>
      <c r="F8" s="156"/>
      <c r="G8" s="156"/>
      <c r="H8" s="156"/>
      <c r="I8" s="156"/>
      <c r="J8" s="157"/>
      <c r="K8" s="60"/>
      <c r="L8" s="60"/>
      <c r="M8" s="60"/>
    </row>
    <row r="9" spans="1:14" ht="15.75" thickBot="1">
      <c r="A9" s="60"/>
      <c r="B9" s="60"/>
      <c r="C9" s="61"/>
      <c r="D9" s="162" t="s">
        <v>97</v>
      </c>
      <c r="E9" s="162"/>
      <c r="F9" s="162"/>
      <c r="G9" s="162"/>
      <c r="H9" s="162"/>
      <c r="I9" s="162"/>
      <c r="J9" s="62"/>
      <c r="K9" s="60"/>
      <c r="L9" s="60"/>
      <c r="M9" s="60"/>
    </row>
    <row r="10" spans="1:14" ht="15.75" thickBot="1">
      <c r="A10" s="60"/>
      <c r="B10" s="60"/>
      <c r="C10" s="61"/>
      <c r="D10" s="63"/>
      <c r="E10" s="60"/>
      <c r="F10" s="158">
        <v>11</v>
      </c>
      <c r="G10" s="159"/>
      <c r="H10" s="60"/>
      <c r="I10" s="63"/>
      <c r="J10" s="62"/>
      <c r="K10" s="60"/>
      <c r="L10" s="60"/>
      <c r="M10" s="60"/>
    </row>
    <row r="11" spans="1:14" ht="23.25">
      <c r="A11" s="60"/>
      <c r="B11" s="60"/>
      <c r="C11" s="61"/>
      <c r="D11" s="63"/>
      <c r="E11" s="63"/>
      <c r="F11" s="63"/>
      <c r="G11" s="63"/>
      <c r="H11" s="60"/>
      <c r="I11" s="63"/>
      <c r="J11" s="64"/>
      <c r="K11" s="60"/>
      <c r="L11" s="60"/>
      <c r="M11" s="60"/>
    </row>
    <row r="12" spans="1:14" ht="23.25">
      <c r="A12" s="60"/>
      <c r="B12" s="60"/>
      <c r="C12" s="155" t="s">
        <v>87</v>
      </c>
      <c r="D12" s="156"/>
      <c r="E12" s="156"/>
      <c r="F12" s="156"/>
      <c r="G12" s="156"/>
      <c r="H12" s="156"/>
      <c r="I12" s="156"/>
      <c r="J12" s="157"/>
      <c r="K12" s="60"/>
      <c r="L12" s="60"/>
      <c r="M12" s="80"/>
      <c r="N12" s="81"/>
    </row>
    <row r="13" spans="1:14" ht="23.25">
      <c r="A13" s="60"/>
      <c r="B13" s="60"/>
      <c r="C13" s="86"/>
      <c r="D13" s="162" t="s">
        <v>115</v>
      </c>
      <c r="E13" s="162"/>
      <c r="F13" s="162"/>
      <c r="G13" s="162"/>
      <c r="H13" s="162"/>
      <c r="I13" s="162"/>
      <c r="J13" s="64"/>
      <c r="K13" s="60"/>
      <c r="L13" s="60"/>
      <c r="M13" s="80"/>
      <c r="N13" s="81"/>
    </row>
    <row r="14" spans="1:14" ht="15.75" thickBot="1">
      <c r="A14" s="60"/>
      <c r="B14" s="60"/>
      <c r="C14" s="61"/>
      <c r="D14" s="162" t="s">
        <v>116</v>
      </c>
      <c r="E14" s="162"/>
      <c r="F14" s="162"/>
      <c r="G14" s="162"/>
      <c r="H14" s="162"/>
      <c r="I14" s="162"/>
      <c r="J14" s="62"/>
      <c r="K14" s="60"/>
      <c r="L14" s="60"/>
      <c r="M14" s="60"/>
    </row>
    <row r="15" spans="1:14" ht="15.75" thickBot="1">
      <c r="A15" s="60"/>
      <c r="B15" s="60"/>
      <c r="C15" s="61"/>
      <c r="D15" s="65"/>
      <c r="E15" s="148" t="s">
        <v>67</v>
      </c>
      <c r="F15" s="149"/>
      <c r="G15" s="78">
        <v>0</v>
      </c>
      <c r="H15" s="60"/>
      <c r="I15" s="63"/>
      <c r="J15" s="62"/>
      <c r="K15" s="60"/>
      <c r="L15" s="60"/>
      <c r="M15" s="60"/>
    </row>
    <row r="16" spans="1:14" ht="15.75" thickBot="1">
      <c r="A16" s="60"/>
      <c r="B16" s="60"/>
      <c r="C16" s="61"/>
      <c r="D16" s="60"/>
      <c r="E16" s="148" t="s">
        <v>66</v>
      </c>
      <c r="F16" s="149"/>
      <c r="G16" s="78">
        <v>24</v>
      </c>
      <c r="H16" s="60"/>
      <c r="I16" s="63"/>
      <c r="J16" s="62"/>
      <c r="K16" s="60"/>
      <c r="L16" s="60"/>
      <c r="M16" s="60"/>
    </row>
    <row r="17" spans="1:13" ht="15.75" thickBot="1">
      <c r="A17" s="60"/>
      <c r="B17" s="60"/>
      <c r="C17" s="61"/>
      <c r="D17" s="60"/>
      <c r="E17" s="148" t="s">
        <v>65</v>
      </c>
      <c r="F17" s="149"/>
      <c r="G17" s="78">
        <v>54</v>
      </c>
      <c r="H17" s="60"/>
      <c r="I17" s="63"/>
      <c r="J17" s="62"/>
      <c r="K17" s="60"/>
      <c r="L17" s="60"/>
      <c r="M17" s="60"/>
    </row>
    <row r="18" spans="1:13" ht="15.75" thickBot="1">
      <c r="A18" s="60"/>
      <c r="B18" s="60"/>
      <c r="C18" s="61"/>
      <c r="D18" s="60"/>
      <c r="E18" s="148" t="s">
        <v>64</v>
      </c>
      <c r="F18" s="149"/>
      <c r="G18" s="78">
        <v>90</v>
      </c>
      <c r="H18" s="60"/>
      <c r="I18" s="63"/>
      <c r="J18" s="62"/>
      <c r="K18" s="60"/>
      <c r="L18" s="60"/>
      <c r="M18" s="60"/>
    </row>
    <row r="19" spans="1:13">
      <c r="A19" s="60"/>
      <c r="B19" s="60"/>
      <c r="C19" s="61"/>
      <c r="D19" s="60"/>
      <c r="E19" s="60"/>
      <c r="F19" s="60"/>
      <c r="G19" s="60"/>
      <c r="H19" s="60"/>
      <c r="I19" s="63"/>
      <c r="J19" s="62"/>
      <c r="K19" s="60"/>
      <c r="L19" s="60"/>
      <c r="M19" s="60"/>
    </row>
    <row r="20" spans="1:13" ht="15.75" thickBot="1">
      <c r="A20" s="60"/>
      <c r="B20" s="60"/>
      <c r="C20" s="66"/>
      <c r="D20" s="67"/>
      <c r="E20" s="68"/>
      <c r="F20" s="68"/>
      <c r="G20" s="68"/>
      <c r="H20" s="68"/>
      <c r="I20" s="68"/>
      <c r="J20" s="69"/>
      <c r="K20" s="60"/>
      <c r="L20" s="60"/>
      <c r="M20" s="60"/>
    </row>
    <row r="21" spans="1:13" ht="15.75" thickTop="1">
      <c r="A21" s="60"/>
      <c r="B21" s="60"/>
      <c r="C21" s="63"/>
      <c r="D21" s="70"/>
      <c r="E21" s="63"/>
      <c r="F21" s="63"/>
      <c r="G21" s="63"/>
      <c r="H21" s="63"/>
      <c r="I21" s="63"/>
      <c r="J21" s="63"/>
      <c r="K21" s="60"/>
      <c r="L21" s="60"/>
      <c r="M21" s="60"/>
    </row>
    <row r="22" spans="1:13" ht="18.75">
      <c r="A22" s="71" t="s">
        <v>81</v>
      </c>
      <c r="B22" s="141" t="s">
        <v>106</v>
      </c>
      <c r="C22" s="142"/>
      <c r="D22" s="142"/>
      <c r="E22" s="142"/>
      <c r="F22" s="142"/>
      <c r="G22" s="142"/>
      <c r="H22" s="142"/>
      <c r="I22" s="142"/>
      <c r="J22" s="142"/>
      <c r="K22" s="142"/>
      <c r="L22" s="143"/>
      <c r="M22" s="60"/>
    </row>
    <row r="23" spans="1:13" ht="18.75">
      <c r="A23" s="71"/>
      <c r="B23" s="141" t="s">
        <v>80</v>
      </c>
      <c r="C23" s="142"/>
      <c r="D23" s="142"/>
      <c r="E23" s="142"/>
      <c r="F23" s="142"/>
      <c r="G23" s="142"/>
      <c r="H23" s="142"/>
      <c r="I23" s="142"/>
      <c r="J23" s="142"/>
      <c r="K23" s="142"/>
      <c r="L23" s="143"/>
      <c r="M23" s="60"/>
    </row>
    <row r="24" spans="1:13" ht="18.75">
      <c r="A24" s="71"/>
      <c r="B24" s="60"/>
      <c r="C24" s="60"/>
      <c r="D24" s="72"/>
      <c r="E24" s="72"/>
      <c r="F24" s="72"/>
      <c r="G24" s="72"/>
      <c r="H24" s="72"/>
      <c r="I24" s="72"/>
      <c r="J24" s="60"/>
      <c r="K24" s="60"/>
      <c r="L24" s="60"/>
      <c r="M24" s="60"/>
    </row>
    <row r="25" spans="1:13" ht="18.75">
      <c r="A25" s="71" t="s">
        <v>79</v>
      </c>
      <c r="B25" s="141" t="s">
        <v>78</v>
      </c>
      <c r="C25" s="142"/>
      <c r="D25" s="142"/>
      <c r="E25" s="142"/>
      <c r="F25" s="142"/>
      <c r="G25" s="142"/>
      <c r="H25" s="142"/>
      <c r="I25" s="142"/>
      <c r="J25" s="142"/>
      <c r="K25" s="142"/>
      <c r="L25" s="143"/>
      <c r="M25" s="60"/>
    </row>
    <row r="26" spans="1:13" ht="18.75">
      <c r="A26" s="71"/>
      <c r="B26" s="60"/>
      <c r="C26" s="60"/>
      <c r="D26" s="72"/>
      <c r="E26" s="72"/>
      <c r="F26" s="72"/>
      <c r="G26" s="72"/>
      <c r="H26" s="72"/>
      <c r="I26" s="72"/>
      <c r="J26" s="60"/>
      <c r="K26" s="60"/>
      <c r="L26" s="60"/>
      <c r="M26" s="60"/>
    </row>
    <row r="27" spans="1:13" ht="19.5" thickBot="1">
      <c r="A27" s="71" t="s">
        <v>77</v>
      </c>
      <c r="B27" s="141" t="s">
        <v>76</v>
      </c>
      <c r="C27" s="142"/>
      <c r="D27" s="142"/>
      <c r="E27" s="144"/>
      <c r="F27" s="144"/>
      <c r="G27" s="144"/>
      <c r="H27" s="144"/>
      <c r="I27" s="144"/>
      <c r="J27" s="142"/>
      <c r="K27" s="142"/>
      <c r="L27" s="143"/>
      <c r="M27" s="60"/>
    </row>
    <row r="28" spans="1:13" ht="19.5" thickBot="1">
      <c r="A28" s="71"/>
      <c r="B28" s="60"/>
      <c r="C28" s="73"/>
      <c r="D28" s="73"/>
      <c r="E28" s="138" t="s">
        <v>75</v>
      </c>
      <c r="F28" s="139"/>
      <c r="G28" s="139"/>
      <c r="H28" s="139"/>
      <c r="I28" s="140"/>
      <c r="J28" s="73"/>
      <c r="K28" s="73"/>
      <c r="L28" s="60"/>
      <c r="M28" s="60"/>
    </row>
    <row r="29" spans="1:13" ht="18.75">
      <c r="A29" s="71"/>
      <c r="B29" s="60"/>
      <c r="C29" s="60"/>
      <c r="D29" s="74"/>
      <c r="E29" s="74"/>
      <c r="F29" s="74"/>
      <c r="G29" s="74"/>
      <c r="H29" s="74"/>
      <c r="I29" s="74"/>
      <c r="J29" s="60"/>
      <c r="K29" s="60"/>
      <c r="L29" s="60"/>
      <c r="M29" s="60"/>
    </row>
    <row r="30" spans="1:13" ht="19.5" thickBot="1">
      <c r="A30" s="71" t="s">
        <v>74</v>
      </c>
      <c r="B30" s="141" t="s">
        <v>73</v>
      </c>
      <c r="C30" s="142"/>
      <c r="D30" s="142"/>
      <c r="E30" s="144"/>
      <c r="F30" s="144"/>
      <c r="G30" s="144"/>
      <c r="H30" s="144"/>
      <c r="I30" s="144"/>
      <c r="J30" s="142"/>
      <c r="K30" s="142"/>
      <c r="L30" s="143"/>
      <c r="M30" s="77"/>
    </row>
    <row r="31" spans="1:13" ht="19.5" thickBot="1">
      <c r="A31" s="71"/>
      <c r="B31" s="60"/>
      <c r="C31" s="73"/>
      <c r="D31" s="73"/>
      <c r="E31" s="138" t="s">
        <v>70</v>
      </c>
      <c r="F31" s="139"/>
      <c r="G31" s="139"/>
      <c r="H31" s="139"/>
      <c r="I31" s="140"/>
      <c r="J31" s="73"/>
      <c r="K31" s="73"/>
      <c r="L31" s="60"/>
      <c r="M31" s="60"/>
    </row>
    <row r="32" spans="1:13" ht="18.75">
      <c r="A32" s="71"/>
      <c r="B32" s="60"/>
      <c r="C32" s="75"/>
      <c r="D32" s="74"/>
      <c r="E32" s="74"/>
      <c r="F32" s="74"/>
      <c r="G32" s="74"/>
      <c r="H32" s="74"/>
      <c r="I32" s="74"/>
      <c r="J32" s="60"/>
      <c r="K32" s="60"/>
      <c r="L32" s="60"/>
      <c r="M32" s="60"/>
    </row>
    <row r="33" spans="1:13" ht="18.75">
      <c r="A33" s="71" t="s">
        <v>72</v>
      </c>
      <c r="B33" s="150" t="s">
        <v>71</v>
      </c>
      <c r="C33" s="144"/>
      <c r="D33" s="144"/>
      <c r="E33" s="144"/>
      <c r="F33" s="144"/>
      <c r="G33" s="144"/>
      <c r="H33" s="144"/>
      <c r="I33" s="144"/>
      <c r="J33" s="144"/>
      <c r="K33" s="144"/>
      <c r="L33" s="151"/>
      <c r="M33" s="60"/>
    </row>
    <row r="34" spans="1:13" ht="19.5" thickBot="1">
      <c r="A34" s="71"/>
      <c r="B34" s="141" t="s">
        <v>104</v>
      </c>
      <c r="C34" s="142"/>
      <c r="D34" s="142"/>
      <c r="E34" s="144"/>
      <c r="F34" s="144"/>
      <c r="G34" s="144"/>
      <c r="H34" s="144"/>
      <c r="I34" s="144"/>
      <c r="J34" s="142"/>
      <c r="K34" s="142"/>
      <c r="L34" s="143"/>
      <c r="M34" s="60"/>
    </row>
    <row r="35" spans="1:13" ht="19.5" thickBot="1">
      <c r="A35" s="71"/>
      <c r="B35" s="60"/>
      <c r="C35" s="73"/>
      <c r="D35" s="73"/>
      <c r="E35" s="138" t="s">
        <v>70</v>
      </c>
      <c r="F35" s="139"/>
      <c r="G35" s="139"/>
      <c r="H35" s="139"/>
      <c r="I35" s="140"/>
      <c r="J35" s="73"/>
      <c r="K35" s="73"/>
      <c r="L35" s="63"/>
      <c r="M35" s="63"/>
    </row>
    <row r="36" spans="1:13" ht="18.75">
      <c r="A36" s="71"/>
      <c r="B36" s="60"/>
      <c r="C36" s="60"/>
      <c r="D36" s="74"/>
      <c r="E36" s="74"/>
      <c r="F36" s="74"/>
      <c r="G36" s="74"/>
      <c r="H36" s="74"/>
      <c r="I36" s="74"/>
      <c r="J36" s="60"/>
      <c r="K36" s="60"/>
      <c r="L36" s="60"/>
      <c r="M36" s="60"/>
    </row>
    <row r="37" spans="1:13" ht="18.75">
      <c r="A37" s="71" t="s">
        <v>69</v>
      </c>
      <c r="B37" s="141" t="s">
        <v>86</v>
      </c>
      <c r="C37" s="142"/>
      <c r="D37" s="142"/>
      <c r="E37" s="142"/>
      <c r="F37" s="142"/>
      <c r="G37" s="142"/>
      <c r="H37" s="142"/>
      <c r="I37" s="142"/>
      <c r="J37" s="142"/>
      <c r="K37" s="142"/>
      <c r="L37" s="143"/>
      <c r="M37" s="60"/>
    </row>
    <row r="38" spans="1:13">
      <c r="A38" s="60"/>
      <c r="B38" s="145" t="s">
        <v>85</v>
      </c>
      <c r="C38" s="146"/>
      <c r="D38" s="146"/>
      <c r="E38" s="146"/>
      <c r="F38" s="146"/>
      <c r="G38" s="146"/>
      <c r="H38" s="146"/>
      <c r="I38" s="146"/>
      <c r="J38" s="146"/>
      <c r="K38" s="146"/>
      <c r="L38" s="147"/>
      <c r="M38" s="60"/>
    </row>
    <row r="39" spans="1:13">
      <c r="A39" s="60"/>
      <c r="B39" s="60"/>
      <c r="C39" s="60"/>
      <c r="D39" s="72"/>
      <c r="E39" s="72"/>
      <c r="F39" s="72"/>
      <c r="G39" s="72"/>
      <c r="H39" s="72"/>
      <c r="I39" s="72"/>
      <c r="J39" s="60"/>
      <c r="K39" s="60"/>
      <c r="L39" s="60"/>
      <c r="M39" s="60"/>
    </row>
    <row r="40" spans="1:13">
      <c r="A40" s="60"/>
      <c r="B40" s="135" t="s">
        <v>105</v>
      </c>
      <c r="C40" s="136"/>
      <c r="D40" s="136"/>
      <c r="E40" s="136"/>
      <c r="F40" s="136"/>
      <c r="G40" s="136"/>
      <c r="H40" s="136"/>
      <c r="I40" s="136"/>
      <c r="J40" s="136"/>
      <c r="K40" s="136"/>
      <c r="L40" s="137"/>
      <c r="M40" s="60"/>
    </row>
    <row r="41" spans="1:13" ht="21">
      <c r="A41" s="60"/>
      <c r="B41" s="76"/>
      <c r="C41" s="63"/>
      <c r="D41" s="79"/>
      <c r="E41" s="79"/>
      <c r="F41" s="79"/>
      <c r="G41" s="79"/>
      <c r="H41" s="79"/>
      <c r="I41" s="79"/>
      <c r="J41" s="63"/>
      <c r="K41" s="60"/>
      <c r="L41" s="60"/>
      <c r="M41" s="60"/>
    </row>
    <row r="42" spans="1:13" ht="18.75">
      <c r="A42" s="71" t="s">
        <v>99</v>
      </c>
      <c r="B42" s="141" t="s">
        <v>100</v>
      </c>
      <c r="C42" s="142"/>
      <c r="D42" s="142"/>
      <c r="E42" s="142"/>
      <c r="F42" s="142"/>
      <c r="G42" s="142"/>
      <c r="H42" s="142"/>
      <c r="I42" s="142"/>
      <c r="J42" s="142"/>
      <c r="K42" s="142"/>
      <c r="L42" s="143"/>
      <c r="M42" s="60"/>
    </row>
    <row r="43" spans="1:13">
      <c r="A43" s="60"/>
      <c r="B43" s="134"/>
      <c r="C43" s="134"/>
      <c r="D43" s="134"/>
      <c r="E43" s="134"/>
      <c r="F43" s="134"/>
      <c r="G43" s="134"/>
      <c r="H43" s="134"/>
      <c r="I43" s="134"/>
      <c r="J43" s="134"/>
      <c r="K43" s="134"/>
      <c r="L43" s="134"/>
      <c r="M43" s="63"/>
    </row>
    <row r="44" spans="1:13" ht="21">
      <c r="A44" s="82" t="s">
        <v>107</v>
      </c>
      <c r="B44" s="83"/>
      <c r="C44" s="83"/>
      <c r="D44" s="83"/>
      <c r="E44" s="83"/>
      <c r="F44" s="60"/>
      <c r="G44" s="60"/>
      <c r="H44" s="60"/>
      <c r="I44" s="60"/>
      <c r="J44" s="60"/>
      <c r="K44" s="60"/>
      <c r="L44" s="60"/>
      <c r="M44" s="60"/>
    </row>
    <row r="45" spans="1:13">
      <c r="A45" s="60"/>
      <c r="B45" s="133" t="s">
        <v>109</v>
      </c>
      <c r="C45" s="133"/>
      <c r="D45" s="133"/>
      <c r="E45" s="133"/>
      <c r="F45" s="133"/>
      <c r="G45" s="133"/>
      <c r="H45" s="133"/>
      <c r="I45" s="133"/>
      <c r="J45" s="133"/>
      <c r="K45" s="133"/>
      <c r="L45" s="133"/>
      <c r="M45" s="60"/>
    </row>
    <row r="46" spans="1:13">
      <c r="A46" s="60"/>
      <c r="B46" s="132" t="s">
        <v>108</v>
      </c>
      <c r="C46" s="132"/>
      <c r="D46" s="132"/>
      <c r="E46" s="132"/>
      <c r="F46" s="132"/>
      <c r="G46" s="132"/>
      <c r="H46" s="132"/>
      <c r="I46" s="132"/>
      <c r="J46" s="132"/>
      <c r="K46" s="132"/>
      <c r="L46" s="132"/>
      <c r="M46" s="60"/>
    </row>
    <row r="47" spans="1:13">
      <c r="A47" s="60"/>
      <c r="B47" s="133" t="s">
        <v>110</v>
      </c>
      <c r="C47" s="133"/>
      <c r="D47" s="133"/>
      <c r="E47" s="133"/>
      <c r="F47" s="133"/>
      <c r="G47" s="133"/>
      <c r="H47" s="133"/>
      <c r="I47" s="133"/>
      <c r="J47" s="133"/>
      <c r="K47" s="133"/>
      <c r="L47" s="133"/>
      <c r="M47" s="60"/>
    </row>
    <row r="48" spans="1:13">
      <c r="A48" s="60"/>
      <c r="B48" s="132" t="s">
        <v>111</v>
      </c>
      <c r="C48" s="132"/>
      <c r="D48" s="132"/>
      <c r="E48" s="132"/>
      <c r="F48" s="132"/>
      <c r="G48" s="132"/>
      <c r="H48" s="132"/>
      <c r="I48" s="132"/>
      <c r="J48" s="132"/>
      <c r="K48" s="132"/>
      <c r="L48" s="132"/>
      <c r="M48" s="60"/>
    </row>
    <row r="49" spans="1:13">
      <c r="A49" s="60"/>
      <c r="B49" s="133" t="s">
        <v>113</v>
      </c>
      <c r="C49" s="133"/>
      <c r="D49" s="133"/>
      <c r="E49" s="133"/>
      <c r="F49" s="133"/>
      <c r="G49" s="133"/>
      <c r="H49" s="133"/>
      <c r="I49" s="133"/>
      <c r="J49" s="133"/>
      <c r="K49" s="133"/>
      <c r="L49" s="133"/>
      <c r="M49" s="60"/>
    </row>
    <row r="50" spans="1:13">
      <c r="A50" s="60"/>
      <c r="B50" s="132" t="s">
        <v>112</v>
      </c>
      <c r="C50" s="132"/>
      <c r="D50" s="132"/>
      <c r="E50" s="132"/>
      <c r="F50" s="132"/>
      <c r="G50" s="132"/>
      <c r="H50" s="132"/>
      <c r="I50" s="132"/>
      <c r="J50" s="132"/>
      <c r="K50" s="132"/>
      <c r="L50" s="132"/>
      <c r="M50" s="60"/>
    </row>
    <row r="51" spans="1:13" ht="18.75">
      <c r="A51" s="71"/>
      <c r="B51" s="60"/>
      <c r="C51" s="75"/>
      <c r="D51" s="74"/>
      <c r="E51" s="74"/>
      <c r="F51" s="74"/>
      <c r="G51" s="74"/>
      <c r="H51" s="74"/>
      <c r="I51" s="74"/>
      <c r="J51" s="60"/>
      <c r="K51" s="60"/>
      <c r="L51" s="60"/>
      <c r="M51" s="60"/>
    </row>
  </sheetData>
  <sheetProtection sheet="1" objects="1" scenarios="1"/>
  <mergeCells count="35">
    <mergeCell ref="C7:J7"/>
    <mergeCell ref="C8:J8"/>
    <mergeCell ref="F10:G10"/>
    <mergeCell ref="B22:L22"/>
    <mergeCell ref="A1:L1"/>
    <mergeCell ref="D2:F2"/>
    <mergeCell ref="D14:I14"/>
    <mergeCell ref="D9:I9"/>
    <mergeCell ref="C12:J12"/>
    <mergeCell ref="D4:I5"/>
    <mergeCell ref="D13:I13"/>
    <mergeCell ref="B27:L27"/>
    <mergeCell ref="B30:L30"/>
    <mergeCell ref="B34:L34"/>
    <mergeCell ref="B38:L38"/>
    <mergeCell ref="E15:F15"/>
    <mergeCell ref="E16:F16"/>
    <mergeCell ref="E17:F17"/>
    <mergeCell ref="E18:F18"/>
    <mergeCell ref="B33:L33"/>
    <mergeCell ref="B25:L25"/>
    <mergeCell ref="B23:L23"/>
    <mergeCell ref="B40:L40"/>
    <mergeCell ref="E28:I28"/>
    <mergeCell ref="E31:I31"/>
    <mergeCell ref="E35:I35"/>
    <mergeCell ref="B42:L42"/>
    <mergeCell ref="B37:L37"/>
    <mergeCell ref="B48:L48"/>
    <mergeCell ref="B49:L49"/>
    <mergeCell ref="B50:L50"/>
    <mergeCell ref="B43:L43"/>
    <mergeCell ref="B45:L45"/>
    <mergeCell ref="B46:L46"/>
    <mergeCell ref="B47:L47"/>
  </mergeCells>
  <hyperlinks>
    <hyperlink ref="C35:H35" location="'Semester View'!A1" display="'Semester View'!A1"/>
    <hyperlink ref="G2:H2" r:id="rId1" display="http://nickbolles.com"/>
    <hyperlink ref="G2" r:id="rId2"/>
    <hyperlink ref="C28:H28" location="'Course List'!A1" display="Click Here to go to the Course List Table"/>
    <hyperlink ref="C31:H31" location="'Semester View'!A1" display="Click Here to go to the Semester View"/>
    <hyperlink ref="E28" location="'Course List'!A1" display="'Course List'!A1"/>
  </hyperlinks>
  <pageMargins left="0.7" right="0.7" top="0.75" bottom="0.75" header="0.3" footer="0.3"/>
  <pageSetup orientation="portrait"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270"/>
  <sheetViews>
    <sheetView tabSelected="1" topLeftCell="A22" zoomScaleNormal="100" workbookViewId="0">
      <selection activeCell="D26" sqref="D26"/>
    </sheetView>
  </sheetViews>
  <sheetFormatPr defaultRowHeight="15"/>
  <cols>
    <col min="1" max="1" width="20.85546875" style="3" customWidth="1"/>
    <col min="2" max="2" width="57.28515625" style="3" customWidth="1"/>
    <col min="3" max="3" width="13.7109375" style="3" customWidth="1"/>
    <col min="4" max="4" width="13.85546875" style="3" customWidth="1"/>
    <col min="5" max="5" width="18.28515625" style="3" customWidth="1"/>
    <col min="6" max="7" width="12.5703125" style="3" customWidth="1"/>
    <col min="8" max="8" width="15.5703125" style="3" customWidth="1"/>
    <col min="9" max="9" width="53.42578125" style="3" customWidth="1"/>
    <col min="10" max="10" width="14.28515625" style="3" hidden="1" customWidth="1"/>
    <col min="11" max="11" width="12.42578125" style="3" customWidth="1"/>
    <col min="12" max="12" width="20.140625" style="3" customWidth="1"/>
    <col min="13" max="13" width="14.42578125" style="3" customWidth="1"/>
    <col min="14" max="14" width="12" style="3" customWidth="1"/>
    <col min="15" max="15" width="7.5703125" style="3" customWidth="1"/>
    <col min="16" max="16" width="7.7109375" style="3" customWidth="1"/>
    <col min="17" max="17" width="7.85546875" style="3" customWidth="1"/>
    <col min="18" max="18" width="8" style="3" customWidth="1"/>
    <col min="19" max="16384" width="9.140625" style="3"/>
  </cols>
  <sheetData>
    <row r="1" spans="1:18">
      <c r="A1" s="1" t="s">
        <v>7</v>
      </c>
      <c r="B1" s="1" t="s">
        <v>8</v>
      </c>
      <c r="C1" s="1" t="s">
        <v>9</v>
      </c>
      <c r="D1" s="1" t="s">
        <v>10</v>
      </c>
      <c r="E1" s="1" t="s">
        <v>11</v>
      </c>
      <c r="F1" s="1" t="s">
        <v>12</v>
      </c>
      <c r="G1" s="1" t="s">
        <v>13</v>
      </c>
      <c r="H1" s="1" t="s">
        <v>27</v>
      </c>
      <c r="I1" s="1" t="s">
        <v>30</v>
      </c>
      <c r="J1" s="1" t="s">
        <v>62</v>
      </c>
    </row>
    <row r="2" spans="1:18" ht="15.75">
      <c r="A2" s="1" t="s">
        <v>125</v>
      </c>
      <c r="B2" s="1" t="s">
        <v>126</v>
      </c>
      <c r="C2" s="1" t="s">
        <v>127</v>
      </c>
      <c r="D2" s="1">
        <v>3</v>
      </c>
      <c r="E2" s="1" t="s">
        <v>1</v>
      </c>
      <c r="F2" s="1" t="s">
        <v>121</v>
      </c>
      <c r="G2" s="1" t="s">
        <v>121</v>
      </c>
      <c r="H2" s="1">
        <v>9</v>
      </c>
      <c r="I2" s="1"/>
      <c r="J2" s="1">
        <v>1</v>
      </c>
      <c r="L2" s="170" t="s">
        <v>43</v>
      </c>
      <c r="M2" s="170"/>
      <c r="N2" s="170"/>
      <c r="O2" s="170"/>
      <c r="P2" s="170"/>
      <c r="Q2" s="170"/>
    </row>
    <row r="3" spans="1:18" ht="15.75">
      <c r="A3" s="1" t="s">
        <v>128</v>
      </c>
      <c r="B3" s="1" t="s">
        <v>129</v>
      </c>
      <c r="C3" s="1" t="s">
        <v>127</v>
      </c>
      <c r="D3" s="1">
        <v>3</v>
      </c>
      <c r="E3" s="1" t="s">
        <v>1</v>
      </c>
      <c r="F3" s="1" t="s">
        <v>121</v>
      </c>
      <c r="G3" s="1" t="s">
        <v>121</v>
      </c>
      <c r="H3" s="1">
        <v>9</v>
      </c>
      <c r="I3" s="1"/>
      <c r="J3" s="6">
        <v>1</v>
      </c>
      <c r="M3" s="167" t="s">
        <v>31</v>
      </c>
      <c r="N3" s="167"/>
      <c r="O3" s="56">
        <f>COURSELIST[[#Totals],[Credits]]</f>
        <v>144</v>
      </c>
    </row>
    <row r="4" spans="1:18" ht="15.75">
      <c r="A4" s="1" t="s">
        <v>130</v>
      </c>
      <c r="B4" s="1" t="s">
        <v>131</v>
      </c>
      <c r="C4" s="1" t="s">
        <v>127</v>
      </c>
      <c r="D4" s="1">
        <v>3</v>
      </c>
      <c r="E4" s="1" t="s">
        <v>1</v>
      </c>
      <c r="F4" s="1" t="s">
        <v>121</v>
      </c>
      <c r="G4" s="1" t="s">
        <v>121</v>
      </c>
      <c r="H4" s="1">
        <v>9</v>
      </c>
      <c r="I4" s="1"/>
      <c r="J4" s="1">
        <v>1</v>
      </c>
      <c r="M4" s="167" t="s">
        <v>4</v>
      </c>
      <c r="N4" s="167"/>
      <c r="O4" s="56">
        <f>COURSELIST[[#Totals],[Credits]]+StartingCredits</f>
        <v>155</v>
      </c>
    </row>
    <row r="5" spans="1:18">
      <c r="A5" s="1" t="s">
        <v>132</v>
      </c>
      <c r="B5" s="1" t="s">
        <v>133</v>
      </c>
      <c r="C5" s="1" t="s">
        <v>127</v>
      </c>
      <c r="D5" s="1">
        <v>1</v>
      </c>
      <c r="E5" s="1" t="s">
        <v>1</v>
      </c>
      <c r="F5" s="1" t="s">
        <v>121</v>
      </c>
      <c r="G5" s="1" t="s">
        <v>121</v>
      </c>
      <c r="H5" s="1">
        <v>4</v>
      </c>
      <c r="I5" s="1"/>
      <c r="J5" s="1">
        <v>1</v>
      </c>
    </row>
    <row r="6" spans="1:18" ht="15.75" customHeight="1">
      <c r="A6" s="1" t="s">
        <v>153</v>
      </c>
      <c r="B6" s="1" t="s">
        <v>154</v>
      </c>
      <c r="C6" s="1" t="s">
        <v>127</v>
      </c>
      <c r="D6" s="1">
        <v>3</v>
      </c>
      <c r="E6" s="1" t="s">
        <v>103</v>
      </c>
      <c r="F6" s="1" t="s">
        <v>121</v>
      </c>
      <c r="G6" s="1" t="s">
        <v>150</v>
      </c>
      <c r="H6" s="1">
        <v>0</v>
      </c>
      <c r="I6" s="1"/>
      <c r="J6" s="1">
        <v>1</v>
      </c>
    </row>
    <row r="7" spans="1:18" ht="15" customHeight="1">
      <c r="A7" s="6" t="s">
        <v>157</v>
      </c>
      <c r="B7" s="2" t="s">
        <v>158</v>
      </c>
      <c r="C7" s="1" t="s">
        <v>127</v>
      </c>
      <c r="D7" s="1">
        <v>3</v>
      </c>
      <c r="E7" s="1" t="s">
        <v>103</v>
      </c>
      <c r="F7" s="1" t="s">
        <v>121</v>
      </c>
      <c r="G7" s="1" t="s">
        <v>150</v>
      </c>
      <c r="H7" s="1">
        <v>0</v>
      </c>
      <c r="I7" s="1"/>
      <c r="J7" s="1">
        <v>1</v>
      </c>
      <c r="L7" s="171" t="s">
        <v>44</v>
      </c>
      <c r="M7" s="171"/>
      <c r="N7" s="171"/>
      <c r="O7" s="171"/>
      <c r="P7" s="171"/>
      <c r="Q7" s="171"/>
      <c r="R7" s="171"/>
    </row>
    <row r="8" spans="1:18" ht="15.75" customHeight="1">
      <c r="A8" s="1" t="s">
        <v>174</v>
      </c>
      <c r="B8" s="1" t="s">
        <v>175</v>
      </c>
      <c r="C8" s="1" t="s">
        <v>127</v>
      </c>
      <c r="D8" s="1">
        <v>4</v>
      </c>
      <c r="E8" s="1" t="s">
        <v>2</v>
      </c>
      <c r="F8" s="1" t="s">
        <v>121</v>
      </c>
      <c r="G8" s="1" t="s">
        <v>121</v>
      </c>
      <c r="H8" s="1">
        <v>12</v>
      </c>
      <c r="I8" s="1"/>
      <c r="J8" s="1">
        <v>1</v>
      </c>
      <c r="L8" s="172"/>
      <c r="M8" s="172"/>
      <c r="N8" s="172"/>
      <c r="O8" s="172"/>
      <c r="P8" s="172"/>
      <c r="Q8" s="172"/>
      <c r="R8" s="172"/>
    </row>
    <row r="9" spans="1:18" ht="15.75" customHeight="1">
      <c r="A9" s="1" t="s">
        <v>178</v>
      </c>
      <c r="B9" s="1" t="s">
        <v>179</v>
      </c>
      <c r="C9" s="1" t="s">
        <v>127</v>
      </c>
      <c r="D9" s="1">
        <v>3</v>
      </c>
      <c r="E9" s="1" t="s">
        <v>2</v>
      </c>
      <c r="F9" s="1" t="s">
        <v>121</v>
      </c>
      <c r="G9" s="1" t="s">
        <v>121</v>
      </c>
      <c r="H9" s="1">
        <v>11</v>
      </c>
      <c r="I9" s="1"/>
      <c r="J9" s="1">
        <v>1</v>
      </c>
      <c r="L9" s="48" t="s">
        <v>14</v>
      </c>
      <c r="M9" s="8" t="s">
        <v>27</v>
      </c>
      <c r="N9" s="8" t="s">
        <v>32</v>
      </c>
      <c r="O9" s="8" t="s">
        <v>33</v>
      </c>
      <c r="P9" s="8" t="s">
        <v>34</v>
      </c>
      <c r="Q9" s="8" t="s">
        <v>35</v>
      </c>
      <c r="R9" s="41" t="s">
        <v>63</v>
      </c>
    </row>
    <row r="10" spans="1:18" ht="15.75" customHeight="1">
      <c r="A10" s="1" t="s">
        <v>182</v>
      </c>
      <c r="B10" s="1" t="s">
        <v>183</v>
      </c>
      <c r="C10" s="1" t="s">
        <v>127</v>
      </c>
      <c r="D10" s="1">
        <v>1</v>
      </c>
      <c r="E10" s="1" t="s">
        <v>2</v>
      </c>
      <c r="F10" s="1" t="s">
        <v>121</v>
      </c>
      <c r="G10" s="1" t="s">
        <v>121</v>
      </c>
      <c r="H10" s="1">
        <v>2.6</v>
      </c>
      <c r="I10" s="1"/>
      <c r="J10" s="2">
        <v>1</v>
      </c>
      <c r="L10" s="49">
        <v>4</v>
      </c>
      <c r="M10" s="38">
        <f t="shared" ref="M10:M15" si="0">$O$3*L10</f>
        <v>576</v>
      </c>
      <c r="N10" s="39">
        <f t="shared" ref="N10:N15" si="1">$M$10-M10</f>
        <v>0</v>
      </c>
      <c r="O10" s="40">
        <f t="shared" ref="O10:O15" si="2">$N10/$M$39</f>
        <v>0</v>
      </c>
      <c r="P10" s="40">
        <f t="shared" ref="P10:P15" si="3">$N10/$M$40</f>
        <v>0</v>
      </c>
      <c r="Q10" s="40">
        <f t="shared" ref="Q10:Q15" si="4">$N10/$M$41</f>
        <v>0</v>
      </c>
      <c r="R10" s="40">
        <f t="shared" ref="R10:R15" si="5">$N10/$M$42</f>
        <v>0</v>
      </c>
    </row>
    <row r="11" spans="1:18" ht="15.75" customHeight="1">
      <c r="A11" s="1" t="s">
        <v>218</v>
      </c>
      <c r="B11" s="1" t="s">
        <v>219</v>
      </c>
      <c r="C11" s="1" t="s">
        <v>127</v>
      </c>
      <c r="D11" s="1">
        <v>3</v>
      </c>
      <c r="E11" s="1" t="s">
        <v>58</v>
      </c>
      <c r="F11" s="1" t="s">
        <v>121</v>
      </c>
      <c r="G11" s="1" t="s">
        <v>121</v>
      </c>
      <c r="H11" s="1">
        <v>12</v>
      </c>
      <c r="I11" s="1" t="s">
        <v>168</v>
      </c>
      <c r="J11" s="1">
        <v>1</v>
      </c>
      <c r="L11" s="49">
        <v>3.8</v>
      </c>
      <c r="M11" s="9">
        <f t="shared" si="0"/>
        <v>547.19999999999993</v>
      </c>
      <c r="N11" s="10">
        <f t="shared" si="1"/>
        <v>28.800000000000068</v>
      </c>
      <c r="O11" s="11">
        <f t="shared" si="2"/>
        <v>29.090909090909154</v>
      </c>
      <c r="P11" s="11">
        <f t="shared" si="3"/>
        <v>9.6000000000000227</v>
      </c>
      <c r="Q11" s="11">
        <f t="shared" si="4"/>
        <v>4.8000000000000114</v>
      </c>
      <c r="R11" s="42">
        <f t="shared" si="5"/>
        <v>3.2000000000000077</v>
      </c>
    </row>
    <row r="12" spans="1:18" ht="15.75" customHeight="1">
      <c r="A12" s="6" t="s">
        <v>224</v>
      </c>
      <c r="B12" s="1" t="s">
        <v>225</v>
      </c>
      <c r="C12" s="1" t="s">
        <v>127</v>
      </c>
      <c r="D12" s="1">
        <v>3</v>
      </c>
      <c r="E12" s="1" t="s">
        <v>15</v>
      </c>
      <c r="F12" s="1" t="s">
        <v>121</v>
      </c>
      <c r="G12" s="1" t="s">
        <v>121</v>
      </c>
      <c r="H12" s="1">
        <v>12</v>
      </c>
      <c r="I12" s="1"/>
      <c r="J12" s="1">
        <v>1</v>
      </c>
      <c r="L12" s="49">
        <v>3.5</v>
      </c>
      <c r="M12" s="9">
        <f t="shared" si="0"/>
        <v>504</v>
      </c>
      <c r="N12" s="10">
        <f t="shared" si="1"/>
        <v>72</v>
      </c>
      <c r="O12" s="11">
        <f t="shared" si="2"/>
        <v>72.727272727272705</v>
      </c>
      <c r="P12" s="11">
        <f t="shared" si="3"/>
        <v>24</v>
      </c>
      <c r="Q12" s="11">
        <f t="shared" si="4"/>
        <v>12</v>
      </c>
      <c r="R12" s="43">
        <f t="shared" si="5"/>
        <v>8</v>
      </c>
    </row>
    <row r="13" spans="1:18" ht="15.75" customHeight="1">
      <c r="A13" s="6" t="s">
        <v>139</v>
      </c>
      <c r="B13" s="1" t="s">
        <v>140</v>
      </c>
      <c r="C13" s="1" t="s">
        <v>141</v>
      </c>
      <c r="D13" s="1">
        <v>3</v>
      </c>
      <c r="E13" s="1" t="s">
        <v>138</v>
      </c>
      <c r="F13" s="1" t="s">
        <v>121</v>
      </c>
      <c r="G13" s="1" t="s">
        <v>121</v>
      </c>
      <c r="H13" s="1">
        <v>9</v>
      </c>
      <c r="I13" s="1"/>
      <c r="J13" s="1">
        <v>1</v>
      </c>
      <c r="L13" s="49">
        <v>3</v>
      </c>
      <c r="M13" s="9">
        <f t="shared" si="0"/>
        <v>432</v>
      </c>
      <c r="N13" s="10">
        <f t="shared" si="1"/>
        <v>144</v>
      </c>
      <c r="O13" s="11">
        <f t="shared" si="2"/>
        <v>145.45454545454541</v>
      </c>
      <c r="P13" s="11">
        <f t="shared" si="3"/>
        <v>48</v>
      </c>
      <c r="Q13" s="11">
        <f t="shared" si="4"/>
        <v>24</v>
      </c>
      <c r="R13" s="44">
        <f t="shared" si="5"/>
        <v>16</v>
      </c>
    </row>
    <row r="14" spans="1:18" ht="15.75">
      <c r="A14" s="1" t="s">
        <v>146</v>
      </c>
      <c r="B14" s="1" t="s">
        <v>147</v>
      </c>
      <c r="C14" s="1" t="s">
        <v>141</v>
      </c>
      <c r="D14" s="1">
        <v>3</v>
      </c>
      <c r="E14" s="1" t="s">
        <v>0</v>
      </c>
      <c r="F14" s="1" t="s">
        <v>121</v>
      </c>
      <c r="G14" s="1" t="s">
        <v>121</v>
      </c>
      <c r="H14" s="1">
        <v>3</v>
      </c>
      <c r="I14" s="1"/>
      <c r="J14" s="1">
        <v>1</v>
      </c>
      <c r="L14" s="49">
        <v>2.8</v>
      </c>
      <c r="M14" s="9">
        <f t="shared" si="0"/>
        <v>403.2</v>
      </c>
      <c r="N14" s="10">
        <f t="shared" si="1"/>
        <v>172.8</v>
      </c>
      <c r="O14" s="11">
        <f t="shared" si="2"/>
        <v>174.54545454545453</v>
      </c>
      <c r="P14" s="11">
        <f t="shared" si="3"/>
        <v>57.6</v>
      </c>
      <c r="Q14" s="11">
        <f t="shared" si="4"/>
        <v>28.8</v>
      </c>
      <c r="R14" s="42">
        <f t="shared" si="5"/>
        <v>19.200000000000003</v>
      </c>
    </row>
    <row r="15" spans="1:18" ht="15.75">
      <c r="A15" s="6" t="s">
        <v>155</v>
      </c>
      <c r="B15" s="1" t="s">
        <v>156</v>
      </c>
      <c r="C15" s="1" t="s">
        <v>141</v>
      </c>
      <c r="D15" s="1">
        <v>3</v>
      </c>
      <c r="E15" s="1" t="s">
        <v>103</v>
      </c>
      <c r="F15" s="1" t="s">
        <v>121</v>
      </c>
      <c r="G15" s="1" t="s">
        <v>150</v>
      </c>
      <c r="H15" s="1">
        <v>0</v>
      </c>
      <c r="I15" s="1"/>
      <c r="J15" s="1">
        <v>1</v>
      </c>
      <c r="L15" s="49">
        <v>2.5</v>
      </c>
      <c r="M15" s="9">
        <f t="shared" si="0"/>
        <v>360</v>
      </c>
      <c r="N15" s="10">
        <f t="shared" si="1"/>
        <v>216</v>
      </c>
      <c r="O15" s="11">
        <f t="shared" si="2"/>
        <v>218.18181818181813</v>
      </c>
      <c r="P15" s="11">
        <f t="shared" si="3"/>
        <v>72</v>
      </c>
      <c r="Q15" s="11">
        <f t="shared" si="4"/>
        <v>36</v>
      </c>
      <c r="R15" s="42">
        <f t="shared" si="5"/>
        <v>24</v>
      </c>
    </row>
    <row r="16" spans="1:18">
      <c r="A16" s="6" t="s">
        <v>159</v>
      </c>
      <c r="B16" s="1" t="s">
        <v>160</v>
      </c>
      <c r="C16" s="1" t="s">
        <v>141</v>
      </c>
      <c r="D16" s="1">
        <v>3</v>
      </c>
      <c r="E16" s="1" t="s">
        <v>103</v>
      </c>
      <c r="F16" s="1" t="s">
        <v>121</v>
      </c>
      <c r="G16" s="1" t="s">
        <v>150</v>
      </c>
      <c r="H16" s="1">
        <v>0</v>
      </c>
      <c r="I16" s="1"/>
      <c r="J16" s="1">
        <v>1</v>
      </c>
    </row>
    <row r="17" spans="1:19">
      <c r="A17" s="6" t="s">
        <v>161</v>
      </c>
      <c r="B17" s="1" t="s">
        <v>678</v>
      </c>
      <c r="C17" s="1" t="s">
        <v>141</v>
      </c>
      <c r="D17" s="1">
        <v>3</v>
      </c>
      <c r="E17" s="1" t="s">
        <v>162</v>
      </c>
      <c r="F17" s="1" t="s">
        <v>150</v>
      </c>
      <c r="G17" s="1" t="s">
        <v>150</v>
      </c>
      <c r="H17" s="1"/>
      <c r="I17" s="1"/>
      <c r="J17" s="1">
        <v>1</v>
      </c>
    </row>
    <row r="18" spans="1:19" ht="15.75">
      <c r="A18" s="6" t="s">
        <v>163</v>
      </c>
      <c r="B18" s="1" t="s">
        <v>677</v>
      </c>
      <c r="C18" s="1" t="s">
        <v>141</v>
      </c>
      <c r="D18" s="1">
        <v>3</v>
      </c>
      <c r="E18" s="1" t="s">
        <v>162</v>
      </c>
      <c r="F18" s="1" t="s">
        <v>150</v>
      </c>
      <c r="G18" s="1" t="s">
        <v>150</v>
      </c>
      <c r="H18" s="1"/>
      <c r="I18" s="1" t="s">
        <v>686</v>
      </c>
      <c r="J18" s="1">
        <v>1</v>
      </c>
      <c r="L18" s="170" t="s">
        <v>42</v>
      </c>
      <c r="M18" s="170"/>
      <c r="N18" s="170"/>
      <c r="O18" s="170"/>
      <c r="P18" s="170"/>
      <c r="Q18" s="170"/>
      <c r="R18" s="170"/>
    </row>
    <row r="19" spans="1:19" ht="15.75">
      <c r="A19" s="6" t="s">
        <v>204</v>
      </c>
      <c r="B19" s="1" t="s">
        <v>684</v>
      </c>
      <c r="C19" s="1" t="s">
        <v>141</v>
      </c>
      <c r="D19" s="1">
        <v>3</v>
      </c>
      <c r="E19" s="1" t="s">
        <v>162</v>
      </c>
      <c r="F19" s="1" t="s">
        <v>150</v>
      </c>
      <c r="G19" s="1" t="s">
        <v>150</v>
      </c>
      <c r="H19" s="1"/>
      <c r="I19" s="1" t="s">
        <v>205</v>
      </c>
      <c r="J19" s="1">
        <v>1</v>
      </c>
      <c r="L19" s="3" t="s">
        <v>38</v>
      </c>
      <c r="M19" s="53">
        <f>COURSELIST[[#Totals],[Grade Points]]/M20</f>
        <v>3.3136111111111113</v>
      </c>
      <c r="O19" s="167" t="s">
        <v>61</v>
      </c>
      <c r="P19" s="167"/>
      <c r="Q19" s="173"/>
      <c r="R19" s="54">
        <f>SUMIF(COURSELIST[Complete],"y",COURSELIST[Counter])</f>
        <v>26</v>
      </c>
    </row>
    <row r="20" spans="1:19" ht="15.75">
      <c r="A20" s="6" t="s">
        <v>208</v>
      </c>
      <c r="B20" s="1" t="s">
        <v>689</v>
      </c>
      <c r="C20" s="1" t="s">
        <v>141</v>
      </c>
      <c r="D20" s="1">
        <v>3</v>
      </c>
      <c r="E20" s="1" t="s">
        <v>162</v>
      </c>
      <c r="F20" s="1" t="s">
        <v>150</v>
      </c>
      <c r="G20" s="1" t="s">
        <v>150</v>
      </c>
      <c r="H20" s="1"/>
      <c r="I20" s="1"/>
      <c r="J20" s="6">
        <v>1</v>
      </c>
      <c r="L20" s="52" t="s">
        <v>37</v>
      </c>
      <c r="M20" s="53">
        <f>SUMIF(COURSELIST[Complete],"y",COURSELIST[Credits])</f>
        <v>72</v>
      </c>
      <c r="N20" s="46"/>
      <c r="O20" s="167" t="s">
        <v>60</v>
      </c>
      <c r="P20" s="167"/>
      <c r="Q20" s="173"/>
      <c r="R20" s="55">
        <f>SUMIF(COURSELIST[Complete],"n",COURSELIST[Counter])</f>
        <v>26</v>
      </c>
    </row>
    <row r="21" spans="1:19" ht="15.75">
      <c r="A21" s="1" t="s">
        <v>187</v>
      </c>
      <c r="B21" s="1" t="s">
        <v>188</v>
      </c>
      <c r="C21" s="1" t="s">
        <v>141</v>
      </c>
      <c r="D21" s="1">
        <v>3</v>
      </c>
      <c r="E21" s="1" t="s">
        <v>3</v>
      </c>
      <c r="F21" s="1" t="s">
        <v>121</v>
      </c>
      <c r="G21" s="1" t="s">
        <v>121</v>
      </c>
      <c r="H21" s="1">
        <v>12</v>
      </c>
      <c r="I21" s="1"/>
      <c r="J21" s="1">
        <v>1</v>
      </c>
      <c r="L21" s="3" t="s">
        <v>27</v>
      </c>
      <c r="M21" s="53">
        <f>COURSELIST[[#Totals],[Grade Points]]</f>
        <v>238.58</v>
      </c>
      <c r="S21" s="45"/>
    </row>
    <row r="22" spans="1:19" ht="15.75">
      <c r="A22" s="1" t="s">
        <v>189</v>
      </c>
      <c r="B22" s="1" t="s">
        <v>190</v>
      </c>
      <c r="C22" s="1" t="s">
        <v>141</v>
      </c>
      <c r="D22" s="1">
        <v>3</v>
      </c>
      <c r="E22" s="1" t="s">
        <v>3</v>
      </c>
      <c r="F22" s="1" t="s">
        <v>121</v>
      </c>
      <c r="G22" s="1" t="s">
        <v>121</v>
      </c>
      <c r="H22" s="1">
        <v>11</v>
      </c>
      <c r="I22" s="1"/>
      <c r="J22" s="6">
        <v>1</v>
      </c>
      <c r="L22" s="21" t="s">
        <v>39</v>
      </c>
      <c r="M22" s="54">
        <f>M20*4</f>
        <v>288</v>
      </c>
      <c r="N22" s="21"/>
      <c r="P22" s="29"/>
      <c r="Q22" s="45"/>
      <c r="S22" s="45"/>
    </row>
    <row r="23" spans="1:19" ht="15.75">
      <c r="A23" s="6" t="s">
        <v>197</v>
      </c>
      <c r="B23" s="1" t="s">
        <v>198</v>
      </c>
      <c r="C23" s="1" t="s">
        <v>141</v>
      </c>
      <c r="D23" s="1">
        <v>3</v>
      </c>
      <c r="E23" s="1" t="s">
        <v>196</v>
      </c>
      <c r="F23" s="1" t="s">
        <v>150</v>
      </c>
      <c r="G23" s="1" t="s">
        <v>150</v>
      </c>
      <c r="H23" s="1"/>
      <c r="I23" s="1"/>
      <c r="J23" s="1">
        <v>1</v>
      </c>
      <c r="L23" s="3" t="s">
        <v>40</v>
      </c>
      <c r="M23" s="55">
        <f>M22-M21</f>
        <v>49.419999999999987</v>
      </c>
      <c r="N23" s="29"/>
      <c r="O23" s="29"/>
      <c r="P23" s="29"/>
      <c r="Q23" s="45"/>
    </row>
    <row r="24" spans="1:19">
      <c r="A24" s="6" t="s">
        <v>165</v>
      </c>
      <c r="B24" s="1" t="s">
        <v>688</v>
      </c>
      <c r="C24" s="1" t="s">
        <v>141</v>
      </c>
      <c r="D24" s="1">
        <v>3</v>
      </c>
      <c r="E24" s="1" t="s">
        <v>196</v>
      </c>
      <c r="F24" s="1" t="s">
        <v>150</v>
      </c>
      <c r="G24" s="1" t="s">
        <v>150</v>
      </c>
      <c r="H24" s="1"/>
      <c r="I24" s="1"/>
      <c r="J24" s="1">
        <v>1</v>
      </c>
    </row>
    <row r="25" spans="1:19">
      <c r="A25" s="6" t="s">
        <v>206</v>
      </c>
      <c r="B25" s="1" t="s">
        <v>207</v>
      </c>
      <c r="C25" s="1" t="s">
        <v>141</v>
      </c>
      <c r="D25" s="1">
        <v>3</v>
      </c>
      <c r="E25" s="1" t="s">
        <v>22</v>
      </c>
      <c r="F25" s="1" t="s">
        <v>150</v>
      </c>
      <c r="G25" s="1" t="s">
        <v>150</v>
      </c>
      <c r="H25" s="1"/>
      <c r="I25" s="1"/>
      <c r="J25" s="1">
        <v>1</v>
      </c>
    </row>
    <row r="26" spans="1:19" ht="15.75">
      <c r="A26" s="6" t="s">
        <v>216</v>
      </c>
      <c r="B26" s="1" t="s">
        <v>217</v>
      </c>
      <c r="C26" s="1" t="s">
        <v>141</v>
      </c>
      <c r="D26" s="1">
        <v>3</v>
      </c>
      <c r="E26" s="1" t="s">
        <v>58</v>
      </c>
      <c r="F26" s="1" t="s">
        <v>121</v>
      </c>
      <c r="G26" s="1" t="s">
        <v>121</v>
      </c>
      <c r="H26" s="1">
        <v>12</v>
      </c>
      <c r="I26" s="1" t="s">
        <v>168</v>
      </c>
      <c r="J26" s="1">
        <v>1</v>
      </c>
      <c r="L26" s="169" t="s">
        <v>41</v>
      </c>
      <c r="M26" s="169"/>
      <c r="N26" s="169"/>
      <c r="O26" s="169"/>
      <c r="P26" s="169"/>
      <c r="Q26" s="169"/>
      <c r="R26" s="169"/>
    </row>
    <row r="27" spans="1:19">
      <c r="A27" s="7" t="s">
        <v>117</v>
      </c>
      <c r="B27" s="7" t="s">
        <v>118</v>
      </c>
      <c r="C27" s="7" t="s">
        <v>119</v>
      </c>
      <c r="D27" s="1"/>
      <c r="E27" s="18" t="s">
        <v>120</v>
      </c>
      <c r="F27" s="7" t="s">
        <v>121</v>
      </c>
      <c r="G27" s="1" t="s">
        <v>121</v>
      </c>
      <c r="H27" s="7">
        <v>0</v>
      </c>
      <c r="I27" s="7"/>
      <c r="J27" s="1">
        <v>1</v>
      </c>
      <c r="L27" s="48" t="s">
        <v>14</v>
      </c>
      <c r="M27" s="15" t="s">
        <v>45</v>
      </c>
      <c r="N27" s="15" t="s">
        <v>33</v>
      </c>
      <c r="O27" s="15" t="s">
        <v>34</v>
      </c>
      <c r="P27" s="15" t="s">
        <v>35</v>
      </c>
      <c r="Q27" s="41" t="s">
        <v>63</v>
      </c>
      <c r="R27" s="41" t="s">
        <v>98</v>
      </c>
    </row>
    <row r="28" spans="1:19" ht="15.75">
      <c r="A28" s="1" t="s">
        <v>122</v>
      </c>
      <c r="B28" s="1" t="s">
        <v>123</v>
      </c>
      <c r="C28" s="1" t="s">
        <v>119</v>
      </c>
      <c r="D28" s="1">
        <v>3</v>
      </c>
      <c r="E28" s="1" t="s">
        <v>124</v>
      </c>
      <c r="F28" s="1" t="s">
        <v>121</v>
      </c>
      <c r="G28" s="1" t="s">
        <v>121</v>
      </c>
      <c r="H28" s="1">
        <v>12</v>
      </c>
      <c r="I28" s="1"/>
      <c r="J28" s="1">
        <v>1</v>
      </c>
      <c r="L28" s="51">
        <v>4</v>
      </c>
      <c r="M28" s="9">
        <f t="shared" ref="M28:M33" si="6">N10-$M$23</f>
        <v>-49.419999999999987</v>
      </c>
      <c r="N28" s="12">
        <f>Table16182047[[#This Row],[GP can lose]]/$M$39</f>
        <v>-49.919191919191896</v>
      </c>
      <c r="O28" s="12">
        <f>Table16182047[[#This Row],[GP can lose]]/$M$40</f>
        <v>-16.473333333333329</v>
      </c>
      <c r="P28" s="12">
        <f>Table16182047[[#This Row],[GP can lose]]/$M$41</f>
        <v>-8.2366666666666646</v>
      </c>
      <c r="Q28" s="12">
        <f>Table16182047[[#This Row],[GP can lose]]/$M$42</f>
        <v>-5.4911111111111097</v>
      </c>
      <c r="R28" s="42">
        <f>Table16182047[[#This Row],[GP can lose]]/$M$43</f>
        <v>-4.1183333333333323</v>
      </c>
    </row>
    <row r="29" spans="1:19" ht="15.75">
      <c r="A29" s="1" t="s">
        <v>134</v>
      </c>
      <c r="B29" s="1" t="s">
        <v>135</v>
      </c>
      <c r="C29" s="1" t="s">
        <v>119</v>
      </c>
      <c r="D29" s="1">
        <v>3</v>
      </c>
      <c r="E29" s="1" t="s">
        <v>1</v>
      </c>
      <c r="F29" s="1" t="s">
        <v>121</v>
      </c>
      <c r="G29" s="1" t="s">
        <v>121</v>
      </c>
      <c r="H29" s="1">
        <v>12</v>
      </c>
      <c r="I29" s="1"/>
      <c r="J29" s="1">
        <v>1</v>
      </c>
      <c r="L29" s="51">
        <v>3.8</v>
      </c>
      <c r="M29" s="9">
        <f t="shared" si="6"/>
        <v>-20.619999999999919</v>
      </c>
      <c r="N29" s="12">
        <f>Table16182047[[#This Row],[GP can lose]]/$M$39</f>
        <v>-20.828282828282742</v>
      </c>
      <c r="O29" s="12">
        <f>Table16182047[[#This Row],[GP can lose]]/$M$40</f>
        <v>-6.8733333333333064</v>
      </c>
      <c r="P29" s="12">
        <f>Table16182047[[#This Row],[GP can lose]]/$M$41</f>
        <v>-3.4366666666666532</v>
      </c>
      <c r="Q29" s="12">
        <f>Table16182047[[#This Row],[GP can lose]]/$M$42</f>
        <v>-2.291111111111102</v>
      </c>
      <c r="R29" s="42">
        <f>Table16182047[[#This Row],[GP can lose]]/$M$43</f>
        <v>-1.7183333333333266</v>
      </c>
    </row>
    <row r="30" spans="1:19" ht="15.75">
      <c r="A30" s="1" t="s">
        <v>136</v>
      </c>
      <c r="B30" s="1" t="s">
        <v>137</v>
      </c>
      <c r="C30" s="1" t="s">
        <v>119</v>
      </c>
      <c r="D30" s="1">
        <v>3</v>
      </c>
      <c r="E30" s="1" t="s">
        <v>138</v>
      </c>
      <c r="F30" s="1" t="s">
        <v>121</v>
      </c>
      <c r="G30" s="1" t="s">
        <v>121</v>
      </c>
      <c r="H30" s="1">
        <v>6</v>
      </c>
      <c r="I30" s="1"/>
      <c r="J30" s="1">
        <v>1</v>
      </c>
      <c r="L30" s="51">
        <v>3.5</v>
      </c>
      <c r="M30" s="9">
        <f t="shared" si="6"/>
        <v>22.580000000000013</v>
      </c>
      <c r="N30" s="12">
        <f>Table16182047[[#This Row],[GP can lose]]/$M$39</f>
        <v>22.808080808080817</v>
      </c>
      <c r="O30" s="12">
        <f>Table16182047[[#This Row],[GP can lose]]/$M$40</f>
        <v>7.5266666666666708</v>
      </c>
      <c r="P30" s="12">
        <f>Table16182047[[#This Row],[GP can lose]]/$M$41</f>
        <v>3.7633333333333354</v>
      </c>
      <c r="Q30" s="12">
        <f>Table16182047[[#This Row],[GP can lose]]/$M$42</f>
        <v>2.5088888888888903</v>
      </c>
      <c r="R30" s="42">
        <f>Table16182047[[#This Row],[GP can lose]]/$M$43</f>
        <v>1.8816666666666677</v>
      </c>
    </row>
    <row r="31" spans="1:19" ht="15.75">
      <c r="A31" s="6" t="s">
        <v>142</v>
      </c>
      <c r="B31" s="1" t="s">
        <v>143</v>
      </c>
      <c r="C31" s="1" t="s">
        <v>119</v>
      </c>
      <c r="D31" s="1">
        <v>3</v>
      </c>
      <c r="E31" s="1" t="s">
        <v>0</v>
      </c>
      <c r="F31" s="1" t="s">
        <v>121</v>
      </c>
      <c r="G31" s="1" t="s">
        <v>121</v>
      </c>
      <c r="H31" s="1">
        <v>9.99</v>
      </c>
      <c r="I31" s="1"/>
      <c r="J31" s="1">
        <v>1</v>
      </c>
      <c r="L31" s="51">
        <v>3</v>
      </c>
      <c r="M31" s="9">
        <f t="shared" si="6"/>
        <v>94.580000000000013</v>
      </c>
      <c r="N31" s="12">
        <f>Table16182047[[#This Row],[GP can lose]]/$M$39</f>
        <v>95.535353535353522</v>
      </c>
      <c r="O31" s="12">
        <f>Table16182047[[#This Row],[GP can lose]]/$M$40</f>
        <v>31.526666666666671</v>
      </c>
      <c r="P31" s="12">
        <f>Table16182047[[#This Row],[GP can lose]]/$M$41</f>
        <v>15.763333333333335</v>
      </c>
      <c r="Q31" s="12">
        <f>Table16182047[[#This Row],[GP can lose]]/$M$42</f>
        <v>10.50888888888889</v>
      </c>
      <c r="R31" s="42">
        <f>Table16182047[[#This Row],[GP can lose]]/$M$43</f>
        <v>7.8816666666666677</v>
      </c>
    </row>
    <row r="32" spans="1:19" ht="15.75">
      <c r="A32" s="2" t="s">
        <v>144</v>
      </c>
      <c r="B32" s="1" t="s">
        <v>145</v>
      </c>
      <c r="C32" s="1" t="s">
        <v>119</v>
      </c>
      <c r="D32" s="1">
        <v>3</v>
      </c>
      <c r="E32" s="1" t="s">
        <v>0</v>
      </c>
      <c r="F32" s="1" t="s">
        <v>121</v>
      </c>
      <c r="G32" s="1" t="s">
        <v>121</v>
      </c>
      <c r="H32" s="1">
        <v>12</v>
      </c>
      <c r="I32" s="1"/>
      <c r="J32" s="1">
        <v>1</v>
      </c>
      <c r="L32" s="51">
        <v>2.8</v>
      </c>
      <c r="M32" s="9">
        <f t="shared" si="6"/>
        <v>123.38000000000002</v>
      </c>
      <c r="N32" s="12">
        <f>Table16182047[[#This Row],[GP can lose]]/$M$39</f>
        <v>124.62626262626263</v>
      </c>
      <c r="O32" s="12">
        <f>Table16182047[[#This Row],[GP can lose]]/$M$40</f>
        <v>41.126666666666672</v>
      </c>
      <c r="P32" s="12">
        <f>Table16182047[[#This Row],[GP can lose]]/$M$41</f>
        <v>20.563333333333336</v>
      </c>
      <c r="Q32" s="12">
        <f>Table16182047[[#This Row],[GP can lose]]/$M$42</f>
        <v>13.708888888888891</v>
      </c>
      <c r="R32" s="42">
        <f>Table16182047[[#This Row],[GP can lose]]/$M$43</f>
        <v>10.281666666666668</v>
      </c>
    </row>
    <row r="33" spans="1:18" ht="15.75">
      <c r="A33" s="2" t="s">
        <v>148</v>
      </c>
      <c r="B33" s="1" t="s">
        <v>149</v>
      </c>
      <c r="C33" s="1" t="s">
        <v>119</v>
      </c>
      <c r="D33" s="1">
        <v>0</v>
      </c>
      <c r="E33" s="1" t="s">
        <v>103</v>
      </c>
      <c r="F33" s="1" t="s">
        <v>121</v>
      </c>
      <c r="G33" s="1" t="s">
        <v>150</v>
      </c>
      <c r="H33" s="1">
        <v>0</v>
      </c>
      <c r="I33" s="1"/>
      <c r="J33" s="1">
        <v>1</v>
      </c>
      <c r="L33" s="51">
        <v>2.5</v>
      </c>
      <c r="M33" s="50">
        <f t="shared" si="6"/>
        <v>166.58</v>
      </c>
      <c r="N33" s="12">
        <f>Table16182047[[#This Row],[GP can lose]]/$M$39</f>
        <v>168.26262626262624</v>
      </c>
      <c r="O33" s="12">
        <f>Table16182047[[#This Row],[GP can lose]]/$M$40</f>
        <v>55.526666666666671</v>
      </c>
      <c r="P33" s="12">
        <f>Table16182047[[#This Row],[GP can lose]]/$M$41</f>
        <v>27.763333333333335</v>
      </c>
      <c r="Q33" s="12">
        <f>Table16182047[[#This Row],[GP can lose]]/$M$42</f>
        <v>18.50888888888889</v>
      </c>
      <c r="R33" s="42">
        <f>Table16182047[[#This Row],[GP can lose]]/$M$43</f>
        <v>13.881666666666668</v>
      </c>
    </row>
    <row r="34" spans="1:18">
      <c r="A34" s="2" t="s">
        <v>151</v>
      </c>
      <c r="B34" s="1" t="s">
        <v>152</v>
      </c>
      <c r="C34" s="1" t="s">
        <v>119</v>
      </c>
      <c r="D34" s="1">
        <v>0</v>
      </c>
      <c r="E34" s="1" t="s">
        <v>103</v>
      </c>
      <c r="F34" s="1" t="s">
        <v>121</v>
      </c>
      <c r="G34" s="1" t="s">
        <v>150</v>
      </c>
      <c r="H34" s="1">
        <v>0</v>
      </c>
      <c r="I34" s="1"/>
      <c r="J34" s="1">
        <v>1</v>
      </c>
      <c r="M34" s="8"/>
    </row>
    <row r="35" spans="1:18">
      <c r="A35" s="2" t="s">
        <v>171</v>
      </c>
      <c r="B35" s="1" t="s">
        <v>172</v>
      </c>
      <c r="C35" s="1" t="s">
        <v>119</v>
      </c>
      <c r="D35" s="1">
        <v>3</v>
      </c>
      <c r="E35" s="1" t="s">
        <v>162</v>
      </c>
      <c r="F35" s="1" t="s">
        <v>150</v>
      </c>
      <c r="G35" s="1" t="s">
        <v>150</v>
      </c>
      <c r="H35" s="1"/>
      <c r="I35" s="1" t="s">
        <v>173</v>
      </c>
      <c r="J35" s="6">
        <v>1</v>
      </c>
    </row>
    <row r="36" spans="1:18">
      <c r="A36" s="1" t="s">
        <v>195</v>
      </c>
      <c r="B36" s="14" t="s">
        <v>681</v>
      </c>
      <c r="C36" s="1" t="s">
        <v>119</v>
      </c>
      <c r="D36" s="1">
        <v>3</v>
      </c>
      <c r="E36" s="1" t="s">
        <v>162</v>
      </c>
      <c r="F36" s="1" t="s">
        <v>150</v>
      </c>
      <c r="G36" s="1" t="s">
        <v>150</v>
      </c>
      <c r="H36" s="1"/>
      <c r="I36" s="1"/>
      <c r="J36" s="6">
        <v>1</v>
      </c>
    </row>
    <row r="37" spans="1:18">
      <c r="A37" s="2" t="s">
        <v>199</v>
      </c>
      <c r="B37" s="2" t="s">
        <v>200</v>
      </c>
      <c r="C37" s="1" t="s">
        <v>119</v>
      </c>
      <c r="D37" s="1">
        <v>3</v>
      </c>
      <c r="E37" s="1" t="s">
        <v>196</v>
      </c>
      <c r="F37" s="1" t="s">
        <v>150</v>
      </c>
      <c r="G37" s="1" t="s">
        <v>150</v>
      </c>
      <c r="H37" s="1"/>
      <c r="I37" s="1" t="s">
        <v>687</v>
      </c>
      <c r="J37" s="2">
        <v>1</v>
      </c>
      <c r="L37" s="47" t="s">
        <v>47</v>
      </c>
      <c r="M37" s="47"/>
    </row>
    <row r="38" spans="1:18">
      <c r="A38" s="1" t="s">
        <v>176</v>
      </c>
      <c r="B38" s="1" t="s">
        <v>177</v>
      </c>
      <c r="C38" s="1" t="s">
        <v>119</v>
      </c>
      <c r="D38" s="1">
        <v>3</v>
      </c>
      <c r="E38" s="1" t="s">
        <v>2</v>
      </c>
      <c r="F38" s="1" t="s">
        <v>121</v>
      </c>
      <c r="G38" s="1" t="s">
        <v>121</v>
      </c>
      <c r="H38" s="1">
        <v>12</v>
      </c>
      <c r="I38" s="1"/>
      <c r="J38" s="6">
        <v>1</v>
      </c>
      <c r="L38" s="47" t="s">
        <v>48</v>
      </c>
      <c r="M38" s="47">
        <f>3*4-3*4</f>
        <v>0</v>
      </c>
    </row>
    <row r="39" spans="1:18">
      <c r="A39" s="2" t="s">
        <v>180</v>
      </c>
      <c r="B39" s="1" t="s">
        <v>181</v>
      </c>
      <c r="C39" s="1" t="s">
        <v>119</v>
      </c>
      <c r="D39" s="1">
        <v>3</v>
      </c>
      <c r="E39" s="1" t="s">
        <v>2</v>
      </c>
      <c r="F39" s="1" t="s">
        <v>121</v>
      </c>
      <c r="G39" s="1" t="s">
        <v>121</v>
      </c>
      <c r="H39" s="1">
        <v>11</v>
      </c>
      <c r="I39" s="1"/>
      <c r="J39" s="1">
        <v>1</v>
      </c>
      <c r="L39" s="47" t="s">
        <v>49</v>
      </c>
      <c r="M39" s="47">
        <f>3*4-3*3.67</f>
        <v>0.99000000000000021</v>
      </c>
    </row>
    <row r="40" spans="1:18">
      <c r="A40" s="6" t="s">
        <v>184</v>
      </c>
      <c r="B40" s="1" t="s">
        <v>185</v>
      </c>
      <c r="C40" s="1" t="s">
        <v>119</v>
      </c>
      <c r="D40" s="1">
        <v>3</v>
      </c>
      <c r="E40" s="1" t="s">
        <v>186</v>
      </c>
      <c r="F40" s="1" t="s">
        <v>121</v>
      </c>
      <c r="G40" s="1" t="s">
        <v>121</v>
      </c>
      <c r="H40" s="1">
        <v>9.99</v>
      </c>
      <c r="I40" s="1"/>
      <c r="J40" s="1">
        <v>1</v>
      </c>
      <c r="L40" s="47" t="s">
        <v>50</v>
      </c>
      <c r="M40" s="47">
        <f>3*4-3*3</f>
        <v>3</v>
      </c>
    </row>
    <row r="41" spans="1:18">
      <c r="A41" s="6" t="s">
        <v>191</v>
      </c>
      <c r="B41" s="1" t="s">
        <v>192</v>
      </c>
      <c r="C41" s="1" t="s">
        <v>119</v>
      </c>
      <c r="D41" s="1">
        <v>3</v>
      </c>
      <c r="E41" s="1" t="s">
        <v>3</v>
      </c>
      <c r="F41" s="1" t="s">
        <v>121</v>
      </c>
      <c r="G41" s="1" t="s">
        <v>121</v>
      </c>
      <c r="H41" s="1">
        <v>9</v>
      </c>
      <c r="I41" s="1"/>
      <c r="J41" s="1">
        <v>1</v>
      </c>
      <c r="L41" s="47" t="s">
        <v>51</v>
      </c>
      <c r="M41" s="47">
        <f>3*4-3*2</f>
        <v>6</v>
      </c>
    </row>
    <row r="42" spans="1:18">
      <c r="A42" s="6" t="s">
        <v>193</v>
      </c>
      <c r="B42" s="1" t="s">
        <v>194</v>
      </c>
      <c r="C42" s="1" t="s">
        <v>119</v>
      </c>
      <c r="D42" s="1">
        <v>3</v>
      </c>
      <c r="E42" s="1" t="s">
        <v>3</v>
      </c>
      <c r="F42" s="1" t="s">
        <v>121</v>
      </c>
      <c r="G42" s="1" t="s">
        <v>121</v>
      </c>
      <c r="H42" s="1">
        <v>8</v>
      </c>
      <c r="I42" s="1"/>
      <c r="J42" s="6">
        <v>1</v>
      </c>
      <c r="L42" s="47" t="s">
        <v>52</v>
      </c>
      <c r="M42" s="47">
        <f>3*4-3*1</f>
        <v>9</v>
      </c>
    </row>
    <row r="43" spans="1:18">
      <c r="A43" s="2" t="s">
        <v>166</v>
      </c>
      <c r="B43" s="1" t="s">
        <v>167</v>
      </c>
      <c r="C43" s="1" t="s">
        <v>119</v>
      </c>
      <c r="D43" s="1">
        <v>3</v>
      </c>
      <c r="E43" s="1" t="s">
        <v>196</v>
      </c>
      <c r="F43" s="1" t="s">
        <v>150</v>
      </c>
      <c r="G43" s="1" t="s">
        <v>150</v>
      </c>
      <c r="H43" s="1"/>
      <c r="I43" s="1" t="s">
        <v>168</v>
      </c>
      <c r="J43" s="1">
        <v>1</v>
      </c>
      <c r="L43" s="47" t="s">
        <v>53</v>
      </c>
      <c r="M43" s="47">
        <f>3*4-3*0</f>
        <v>12</v>
      </c>
    </row>
    <row r="44" spans="1:18">
      <c r="A44" s="6" t="s">
        <v>209</v>
      </c>
      <c r="B44" s="1" t="s">
        <v>210</v>
      </c>
      <c r="C44" s="1" t="s">
        <v>119</v>
      </c>
      <c r="D44" s="1">
        <v>3</v>
      </c>
      <c r="E44" s="1" t="s">
        <v>196</v>
      </c>
      <c r="F44" s="1" t="s">
        <v>150</v>
      </c>
      <c r="G44" s="1" t="s">
        <v>150</v>
      </c>
      <c r="H44" s="1"/>
      <c r="I44" s="1"/>
      <c r="J44" s="1">
        <v>1</v>
      </c>
    </row>
    <row r="45" spans="1:18">
      <c r="A45" s="1" t="s">
        <v>201</v>
      </c>
      <c r="B45" s="1" t="s">
        <v>202</v>
      </c>
      <c r="C45" s="1" t="s">
        <v>119</v>
      </c>
      <c r="D45" s="1">
        <v>3</v>
      </c>
      <c r="E45" s="1" t="s">
        <v>196</v>
      </c>
      <c r="F45" s="1" t="s">
        <v>150</v>
      </c>
      <c r="G45" s="1" t="s">
        <v>150</v>
      </c>
      <c r="H45" s="1"/>
      <c r="I45" s="1"/>
      <c r="J45" s="1">
        <v>1</v>
      </c>
    </row>
    <row r="46" spans="1:18">
      <c r="A46" s="1" t="s">
        <v>169</v>
      </c>
      <c r="B46" s="14" t="s">
        <v>170</v>
      </c>
      <c r="C46" s="1" t="s">
        <v>119</v>
      </c>
      <c r="D46" s="1">
        <v>3</v>
      </c>
      <c r="E46" s="1" t="s">
        <v>22</v>
      </c>
      <c r="F46" s="1" t="s">
        <v>150</v>
      </c>
      <c r="G46" s="1" t="s">
        <v>150</v>
      </c>
      <c r="H46" s="1"/>
      <c r="I46" s="1"/>
      <c r="J46" s="6">
        <v>1</v>
      </c>
    </row>
    <row r="47" spans="1:18">
      <c r="A47" s="1" t="s">
        <v>203</v>
      </c>
      <c r="B47" s="14" t="s">
        <v>682</v>
      </c>
      <c r="C47" s="1" t="s">
        <v>119</v>
      </c>
      <c r="D47" s="1">
        <v>3</v>
      </c>
      <c r="E47" s="1" t="s">
        <v>22</v>
      </c>
      <c r="F47" s="1" t="s">
        <v>150</v>
      </c>
      <c r="G47" s="1" t="s">
        <v>150</v>
      </c>
      <c r="H47" s="1"/>
      <c r="I47" s="1"/>
      <c r="J47" s="1">
        <v>1</v>
      </c>
    </row>
    <row r="48" spans="1:18" ht="15" customHeight="1">
      <c r="A48" s="1" t="s">
        <v>211</v>
      </c>
      <c r="B48" s="1" t="s">
        <v>212</v>
      </c>
      <c r="C48" s="1" t="s">
        <v>119</v>
      </c>
      <c r="D48" s="1">
        <v>3</v>
      </c>
      <c r="E48" s="1" t="s">
        <v>22</v>
      </c>
      <c r="F48" s="1" t="s">
        <v>150</v>
      </c>
      <c r="G48" s="1" t="s">
        <v>150</v>
      </c>
      <c r="H48" s="1"/>
      <c r="I48" s="1"/>
      <c r="J48" s="6">
        <v>1</v>
      </c>
    </row>
    <row r="49" spans="1:15">
      <c r="A49" s="6" t="s">
        <v>213</v>
      </c>
      <c r="B49" s="1" t="s">
        <v>691</v>
      </c>
      <c r="C49" s="1" t="s">
        <v>119</v>
      </c>
      <c r="D49" s="1">
        <v>3</v>
      </c>
      <c r="E49" s="1" t="s">
        <v>22</v>
      </c>
      <c r="F49" s="1" t="s">
        <v>150</v>
      </c>
      <c r="G49" s="1" t="s">
        <v>150</v>
      </c>
      <c r="H49" s="1"/>
      <c r="I49" s="1" t="s">
        <v>685</v>
      </c>
      <c r="J49" s="2">
        <v>1</v>
      </c>
    </row>
    <row r="50" spans="1:15">
      <c r="A50" s="2" t="s">
        <v>220</v>
      </c>
      <c r="B50" s="2" t="s">
        <v>221</v>
      </c>
      <c r="C50" s="1" t="s">
        <v>119</v>
      </c>
      <c r="D50" s="1">
        <v>3</v>
      </c>
      <c r="E50" s="1" t="s">
        <v>58</v>
      </c>
      <c r="F50" s="1" t="s">
        <v>121</v>
      </c>
      <c r="G50" s="1" t="s">
        <v>121</v>
      </c>
      <c r="H50" s="1">
        <v>9</v>
      </c>
      <c r="I50" s="1" t="s">
        <v>168</v>
      </c>
      <c r="J50" s="1">
        <v>1</v>
      </c>
    </row>
    <row r="51" spans="1:15" ht="15" customHeight="1">
      <c r="A51" s="2" t="s">
        <v>222</v>
      </c>
      <c r="B51" s="2" t="s">
        <v>223</v>
      </c>
      <c r="C51" s="1" t="s">
        <v>119</v>
      </c>
      <c r="D51" s="1">
        <v>3</v>
      </c>
      <c r="E51" s="1" t="s">
        <v>21</v>
      </c>
      <c r="F51" s="1" t="s">
        <v>150</v>
      </c>
      <c r="G51" s="1" t="s">
        <v>150</v>
      </c>
      <c r="H51" s="1"/>
      <c r="I51" s="1" t="s">
        <v>168</v>
      </c>
      <c r="J51" s="1">
        <v>1</v>
      </c>
    </row>
    <row r="52" spans="1:15">
      <c r="A52" s="2" t="s">
        <v>214</v>
      </c>
      <c r="B52" s="1" t="s">
        <v>215</v>
      </c>
      <c r="C52" s="1" t="s">
        <v>119</v>
      </c>
      <c r="D52" s="1">
        <v>3</v>
      </c>
      <c r="E52" s="1" t="s">
        <v>23</v>
      </c>
      <c r="F52" s="1" t="s">
        <v>150</v>
      </c>
      <c r="G52" s="1" t="s">
        <v>150</v>
      </c>
      <c r="H52" s="1"/>
      <c r="I52" s="1" t="s">
        <v>173</v>
      </c>
      <c r="J52" s="1">
        <v>1</v>
      </c>
    </row>
    <row r="53" spans="1:15" ht="30">
      <c r="A53" s="6" t="s">
        <v>690</v>
      </c>
      <c r="B53" s="13" t="s">
        <v>683</v>
      </c>
      <c r="C53" s="1" t="s">
        <v>119</v>
      </c>
      <c r="D53" s="1">
        <v>3</v>
      </c>
      <c r="E53" s="1" t="s">
        <v>22</v>
      </c>
      <c r="F53" s="1" t="s">
        <v>150</v>
      </c>
      <c r="G53" s="1" t="s">
        <v>150</v>
      </c>
      <c r="H53" s="1"/>
      <c r="I53" s="1"/>
      <c r="J53" s="1">
        <v>1</v>
      </c>
    </row>
    <row r="54" spans="1:15" ht="21">
      <c r="A54" s="6"/>
      <c r="B54" s="1"/>
      <c r="C54" s="1"/>
      <c r="D54" s="1"/>
      <c r="E54" s="1"/>
      <c r="F54" s="1"/>
      <c r="G54" s="1"/>
      <c r="H54" s="1"/>
      <c r="I54" s="1"/>
      <c r="J54" s="1">
        <v>1</v>
      </c>
      <c r="K54" s="20"/>
    </row>
    <row r="55" spans="1:15">
      <c r="A55" s="1"/>
      <c r="B55" s="1"/>
      <c r="C55" s="1"/>
      <c r="D55" s="1"/>
      <c r="E55" s="1"/>
      <c r="F55" s="1"/>
      <c r="G55" s="1"/>
      <c r="H55" s="1"/>
      <c r="I55" s="1"/>
      <c r="J55" s="1">
        <v>1</v>
      </c>
    </row>
    <row r="56" spans="1:15">
      <c r="A56" s="1"/>
      <c r="B56" s="1"/>
      <c r="C56" s="1"/>
      <c r="D56" s="1"/>
      <c r="E56" s="1"/>
      <c r="F56" s="1"/>
      <c r="G56" s="1"/>
      <c r="H56" s="1"/>
      <c r="I56" s="1"/>
      <c r="J56" s="1">
        <v>1</v>
      </c>
    </row>
    <row r="57" spans="1:15">
      <c r="A57" s="6"/>
      <c r="B57" s="1"/>
      <c r="C57" s="1"/>
      <c r="D57" s="1"/>
      <c r="E57" s="1"/>
      <c r="F57" s="1"/>
      <c r="G57" s="1"/>
      <c r="H57" s="1"/>
      <c r="I57" s="1"/>
      <c r="J57" s="1">
        <v>1</v>
      </c>
    </row>
    <row r="58" spans="1:15">
      <c r="A58" s="6"/>
      <c r="B58" s="1"/>
      <c r="C58" s="1"/>
      <c r="D58" s="1"/>
      <c r="E58" s="1"/>
      <c r="F58" s="1"/>
      <c r="G58" s="1"/>
      <c r="H58" s="1"/>
      <c r="I58" s="1"/>
      <c r="J58" s="1">
        <v>1</v>
      </c>
      <c r="L58" s="21"/>
      <c r="M58" s="21"/>
      <c r="N58" s="21"/>
      <c r="O58" s="21"/>
    </row>
    <row r="59" spans="1:15">
      <c r="A59" s="6"/>
      <c r="B59" s="1"/>
      <c r="C59" s="1"/>
      <c r="D59" s="1"/>
      <c r="E59" s="1"/>
      <c r="F59" s="1"/>
      <c r="G59" s="1"/>
      <c r="H59" s="1"/>
      <c r="I59" s="1"/>
      <c r="J59" s="1">
        <v>1</v>
      </c>
    </row>
    <row r="60" spans="1:15">
      <c r="A60" s="6"/>
      <c r="B60" s="1"/>
      <c r="C60" s="1"/>
      <c r="D60" s="1"/>
      <c r="E60" s="1"/>
      <c r="F60" s="1"/>
      <c r="G60" s="1"/>
      <c r="H60" s="1"/>
      <c r="I60" s="1"/>
      <c r="J60" s="1">
        <v>1</v>
      </c>
      <c r="L60" s="22"/>
    </row>
    <row r="61" spans="1:15">
      <c r="A61" s="6"/>
      <c r="B61" s="1"/>
      <c r="C61" s="1"/>
      <c r="D61" s="1"/>
      <c r="E61" s="1"/>
      <c r="F61" s="1"/>
      <c r="G61" s="1"/>
      <c r="H61" s="1"/>
      <c r="I61" s="1"/>
      <c r="J61" s="1">
        <v>1</v>
      </c>
      <c r="L61" s="22"/>
    </row>
    <row r="62" spans="1:15">
      <c r="A62" s="6"/>
      <c r="B62" s="1"/>
      <c r="C62" s="1"/>
      <c r="D62" s="1"/>
      <c r="E62" s="1"/>
      <c r="F62" s="1"/>
      <c r="G62" s="1"/>
      <c r="H62" s="1"/>
      <c r="I62" s="1"/>
      <c r="J62" s="1">
        <v>1</v>
      </c>
      <c r="L62" s="22"/>
    </row>
    <row r="63" spans="1:15">
      <c r="A63" s="1"/>
      <c r="B63" s="1"/>
      <c r="C63" s="1" t="s">
        <v>4</v>
      </c>
      <c r="D63" s="112">
        <f>SUBTOTAL(109,COURSELIST[Credits])</f>
        <v>144</v>
      </c>
      <c r="E63" s="1"/>
      <c r="F63" s="1" t="s">
        <v>36</v>
      </c>
      <c r="G63" s="1">
        <f>COUNTIFS(COURSELIST[Complete],"Y",COURSELIST[Complete],"y")</f>
        <v>26</v>
      </c>
      <c r="H63" s="1">
        <f>SUBTOTAL(109,COURSELIST[Grade Points])</f>
        <v>238.58</v>
      </c>
      <c r="I63" s="1"/>
      <c r="J63" s="1"/>
      <c r="L63" s="22"/>
    </row>
    <row r="64" spans="1:15" ht="42.75" customHeight="1">
      <c r="A64" s="168" t="s">
        <v>84</v>
      </c>
      <c r="B64" s="168"/>
      <c r="C64" s="168"/>
      <c r="D64" s="168"/>
      <c r="E64" s="168"/>
      <c r="F64" s="168"/>
      <c r="G64" s="168"/>
      <c r="H64" s="168"/>
      <c r="I64" s="168"/>
      <c r="J64" s="168"/>
      <c r="L64" s="22"/>
    </row>
    <row r="65" spans="1:12">
      <c r="A65" s="30"/>
      <c r="B65" s="35"/>
      <c r="C65" s="35"/>
      <c r="D65" s="35"/>
      <c r="E65" s="35"/>
      <c r="F65" s="30"/>
      <c r="G65" s="30"/>
      <c r="H65" s="30"/>
      <c r="I65" s="1"/>
      <c r="L65" s="22"/>
    </row>
    <row r="66" spans="1:12">
      <c r="A66" s="30"/>
      <c r="B66" s="35"/>
      <c r="C66" s="35"/>
      <c r="D66" s="35"/>
      <c r="E66" s="35"/>
      <c r="F66" s="31"/>
      <c r="G66" s="31"/>
      <c r="H66" s="31"/>
      <c r="I66" s="6"/>
      <c r="L66" s="22"/>
    </row>
    <row r="67" spans="1:12">
      <c r="A67" s="30" t="s">
        <v>21</v>
      </c>
      <c r="B67" s="30"/>
      <c r="C67" s="30"/>
      <c r="D67" s="30"/>
      <c r="E67" s="30"/>
      <c r="F67" s="32"/>
      <c r="G67" s="32"/>
      <c r="H67" s="32"/>
      <c r="I67" s="2"/>
      <c r="L67" s="22"/>
    </row>
    <row r="68" spans="1:12">
      <c r="A68" s="30"/>
      <c r="B68" s="30" t="s">
        <v>447</v>
      </c>
      <c r="C68" s="30" t="s">
        <v>448</v>
      </c>
      <c r="D68" s="30"/>
      <c r="E68" s="30"/>
      <c r="F68" s="32"/>
      <c r="G68" s="32"/>
      <c r="H68" s="32"/>
      <c r="I68" s="2"/>
    </row>
    <row r="69" spans="1:12" ht="19.5">
      <c r="A69" s="33"/>
      <c r="B69" s="30" t="s">
        <v>449</v>
      </c>
      <c r="C69" s="30" t="s">
        <v>448</v>
      </c>
      <c r="D69" s="30"/>
      <c r="E69" s="30"/>
      <c r="F69" s="31"/>
      <c r="G69" s="31"/>
      <c r="H69" s="31"/>
      <c r="I69" s="6"/>
    </row>
    <row r="70" spans="1:12" ht="94.5" customHeight="1">
      <c r="A70" s="93"/>
      <c r="B70" s="113" t="s">
        <v>450</v>
      </c>
      <c r="C70" s="113" t="s">
        <v>448</v>
      </c>
      <c r="D70" s="125" t="s">
        <v>451</v>
      </c>
      <c r="E70" s="30" t="s">
        <v>579</v>
      </c>
      <c r="F70" s="31"/>
      <c r="G70" s="31"/>
      <c r="H70" s="31"/>
      <c r="I70" s="6"/>
    </row>
    <row r="71" spans="1:12" ht="54.75" customHeight="1">
      <c r="A71" s="34"/>
      <c r="B71" s="30" t="s">
        <v>580</v>
      </c>
      <c r="C71" s="30" t="s">
        <v>448</v>
      </c>
      <c r="D71" s="34" t="s">
        <v>581</v>
      </c>
      <c r="E71" s="30"/>
      <c r="F71" s="30"/>
      <c r="G71" s="30"/>
      <c r="H71" s="30"/>
      <c r="I71" s="1"/>
    </row>
    <row r="72" spans="1:12" ht="54.75" customHeight="1">
      <c r="A72" s="34"/>
      <c r="B72" s="34"/>
      <c r="C72" s="34"/>
      <c r="D72" s="34"/>
      <c r="E72" s="30"/>
      <c r="F72" s="30"/>
      <c r="G72" s="30"/>
      <c r="H72" s="30"/>
      <c r="I72" s="1"/>
    </row>
    <row r="73" spans="1:12" ht="54.75" customHeight="1">
      <c r="A73" s="34"/>
      <c r="B73" s="1"/>
      <c r="C73" s="1"/>
      <c r="D73" s="1"/>
      <c r="E73" s="30"/>
      <c r="F73" s="30"/>
      <c r="G73" s="30"/>
      <c r="H73" s="30"/>
      <c r="I73" s="1"/>
    </row>
    <row r="74" spans="1:12" ht="54.75" customHeight="1">
      <c r="A74" s="176"/>
      <c r="B74" s="176"/>
      <c r="C74" s="176"/>
      <c r="D74" s="176"/>
      <c r="E74" s="30"/>
      <c r="F74" s="30"/>
      <c r="G74" s="30"/>
      <c r="H74" s="30"/>
      <c r="I74" s="1"/>
    </row>
    <row r="75" spans="1:12">
      <c r="A75" s="34"/>
      <c r="B75" s="34"/>
      <c r="C75" s="34"/>
      <c r="D75" s="34"/>
      <c r="E75" s="30"/>
      <c r="F75" s="30"/>
      <c r="G75" s="30"/>
      <c r="H75" s="30"/>
      <c r="I75" s="1"/>
    </row>
    <row r="76" spans="1:12" ht="15" customHeight="1">
      <c r="A76" s="124" t="s">
        <v>598</v>
      </c>
      <c r="B76" s="174" t="s">
        <v>680</v>
      </c>
      <c r="C76" s="174"/>
      <c r="D76" s="174"/>
      <c r="E76" s="174"/>
      <c r="F76" s="30"/>
      <c r="G76" s="30"/>
      <c r="H76" s="30"/>
      <c r="I76" s="1"/>
    </row>
    <row r="77" spans="1:12" ht="87.75" customHeight="1">
      <c r="A77" s="124"/>
      <c r="B77" s="174"/>
      <c r="C77" s="174"/>
      <c r="D77" s="174"/>
      <c r="E77" s="174"/>
      <c r="F77" s="30"/>
      <c r="G77" s="30" t="s">
        <v>679</v>
      </c>
      <c r="H77" s="30"/>
      <c r="I77" s="1"/>
    </row>
    <row r="78" spans="1:12" ht="18" customHeight="1">
      <c r="A78" s="124" t="s">
        <v>599</v>
      </c>
      <c r="B78" s="124" t="s">
        <v>623</v>
      </c>
      <c r="C78" s="124"/>
      <c r="D78" s="124"/>
      <c r="E78" s="124"/>
      <c r="F78" s="30"/>
      <c r="G78" s="30"/>
      <c r="H78" s="30"/>
      <c r="I78" s="1"/>
    </row>
    <row r="79" spans="1:12">
      <c r="A79" s="124"/>
      <c r="B79" s="124"/>
      <c r="C79" s="124"/>
      <c r="D79" s="124"/>
      <c r="E79" s="124"/>
      <c r="F79" s="30"/>
      <c r="G79" s="30"/>
      <c r="H79" s="30"/>
      <c r="I79" s="1"/>
    </row>
    <row r="80" spans="1:12" ht="19.5" customHeight="1">
      <c r="A80" s="175" t="s">
        <v>624</v>
      </c>
      <c r="B80" s="175"/>
      <c r="C80" s="175"/>
      <c r="D80" s="175"/>
      <c r="E80" s="124"/>
      <c r="F80" s="30"/>
      <c r="G80" s="30"/>
      <c r="H80" s="30"/>
      <c r="I80" s="1"/>
    </row>
    <row r="81" spans="1:9" ht="31.5">
      <c r="A81" s="126" t="s">
        <v>625</v>
      </c>
      <c r="B81" s="126" t="s">
        <v>626</v>
      </c>
      <c r="C81" s="126" t="s">
        <v>627</v>
      </c>
      <c r="D81" s="126" t="s">
        <v>628</v>
      </c>
      <c r="E81" s="124"/>
      <c r="F81" s="30"/>
      <c r="G81" s="30"/>
      <c r="H81" s="30"/>
      <c r="I81" s="1"/>
    </row>
    <row r="82" spans="1:9" ht="75">
      <c r="A82" s="128" t="s">
        <v>629</v>
      </c>
      <c r="B82" s="128">
        <v>3</v>
      </c>
      <c r="C82" s="128" t="s">
        <v>615</v>
      </c>
      <c r="D82" s="128" t="s">
        <v>630</v>
      </c>
      <c r="E82" s="124"/>
      <c r="F82" s="30"/>
      <c r="G82" s="30"/>
      <c r="H82" s="30"/>
      <c r="I82" s="1"/>
    </row>
    <row r="83" spans="1:9" ht="60">
      <c r="A83" s="128" t="s">
        <v>631</v>
      </c>
      <c r="B83" s="128">
        <v>3</v>
      </c>
      <c r="C83" s="128" t="s">
        <v>615</v>
      </c>
      <c r="D83" s="128" t="s">
        <v>616</v>
      </c>
      <c r="E83" s="124"/>
      <c r="F83" s="30"/>
      <c r="G83" s="30"/>
      <c r="H83" s="30"/>
      <c r="I83" s="1"/>
    </row>
    <row r="84" spans="1:9" ht="45">
      <c r="A84" s="128" t="s">
        <v>632</v>
      </c>
      <c r="B84" s="128">
        <v>3</v>
      </c>
      <c r="C84" s="128" t="s">
        <v>615</v>
      </c>
      <c r="D84" s="128" t="s">
        <v>611</v>
      </c>
      <c r="E84" s="124"/>
      <c r="F84" s="30"/>
      <c r="G84" s="30"/>
      <c r="H84" s="30"/>
      <c r="I84" s="1"/>
    </row>
    <row r="85" spans="1:9" ht="45">
      <c r="A85" s="128" t="s">
        <v>633</v>
      </c>
      <c r="B85" s="128">
        <v>3</v>
      </c>
      <c r="C85" s="128" t="s">
        <v>615</v>
      </c>
      <c r="D85" s="128" t="s">
        <v>616</v>
      </c>
      <c r="E85" s="124"/>
      <c r="F85" s="30"/>
      <c r="G85" s="30"/>
      <c r="H85" s="30"/>
      <c r="I85" s="1"/>
    </row>
    <row r="86" spans="1:9" ht="36">
      <c r="A86" s="127" t="s">
        <v>634</v>
      </c>
      <c r="B86" s="127">
        <v>3</v>
      </c>
      <c r="C86" s="127" t="s">
        <v>635</v>
      </c>
      <c r="D86" s="127" t="s">
        <v>636</v>
      </c>
      <c r="E86" s="124"/>
      <c r="F86" s="30"/>
      <c r="G86" s="30"/>
      <c r="H86" s="30"/>
      <c r="I86" s="1"/>
    </row>
    <row r="87" spans="1:9" ht="48">
      <c r="A87" s="127" t="s">
        <v>637</v>
      </c>
      <c r="B87" s="127">
        <v>3</v>
      </c>
      <c r="C87" s="127" t="s">
        <v>615</v>
      </c>
      <c r="D87" s="127" t="s">
        <v>638</v>
      </c>
      <c r="E87" s="124"/>
      <c r="F87" s="30"/>
      <c r="G87" s="30"/>
      <c r="H87" s="30"/>
      <c r="I87" s="1"/>
    </row>
    <row r="88" spans="1:9" ht="30">
      <c r="A88" s="128" t="s">
        <v>639</v>
      </c>
      <c r="B88" s="128">
        <v>3</v>
      </c>
      <c r="C88" s="128" t="s">
        <v>640</v>
      </c>
      <c r="D88" s="128" t="s">
        <v>641</v>
      </c>
      <c r="E88" s="124"/>
      <c r="F88" s="1"/>
      <c r="G88" s="1"/>
      <c r="H88" s="1"/>
      <c r="I88" s="1"/>
    </row>
    <row r="89" spans="1:9">
      <c r="A89" t="s">
        <v>642</v>
      </c>
      <c r="B89" s="127">
        <v>3</v>
      </c>
      <c r="C89" s="127" t="s">
        <v>615</v>
      </c>
      <c r="D89" s="127"/>
      <c r="E89" s="124"/>
      <c r="F89" s="1"/>
      <c r="G89" s="1"/>
      <c r="H89" s="1"/>
      <c r="I89" s="1"/>
    </row>
    <row r="90" spans="1:9" ht="19.5">
      <c r="A90" s="175" t="s">
        <v>164</v>
      </c>
      <c r="B90" s="175"/>
      <c r="C90" s="175"/>
      <c r="D90" s="175"/>
      <c r="E90" s="124"/>
      <c r="F90" s="1"/>
      <c r="G90" s="1"/>
      <c r="H90" s="1"/>
      <c r="I90" s="1"/>
    </row>
    <row r="91" spans="1:9" ht="31.5">
      <c r="A91" s="126" t="s">
        <v>625</v>
      </c>
      <c r="B91" s="126" t="s">
        <v>626</v>
      </c>
      <c r="C91" s="126" t="s">
        <v>627</v>
      </c>
      <c r="D91" s="126" t="s">
        <v>628</v>
      </c>
      <c r="E91" s="124"/>
      <c r="F91" s="1"/>
      <c r="G91" s="1"/>
      <c r="H91" s="1"/>
      <c r="I91" s="1"/>
    </row>
    <row r="92" spans="1:9" ht="18">
      <c r="A92" s="165" t="s">
        <v>600</v>
      </c>
      <c r="B92" s="165"/>
      <c r="C92" s="165"/>
      <c r="D92" s="165"/>
      <c r="E92" s="124"/>
      <c r="F92" s="1"/>
      <c r="G92" s="1"/>
      <c r="H92" s="1"/>
      <c r="I92" s="1"/>
    </row>
    <row r="93" spans="1:9">
      <c r="A93" s="127"/>
      <c r="B93" s="127"/>
      <c r="C93" s="127"/>
      <c r="D93" s="127"/>
      <c r="E93" s="124"/>
      <c r="F93" s="1"/>
      <c r="G93" s="1"/>
      <c r="H93" s="1"/>
      <c r="I93" s="1"/>
    </row>
    <row r="94" spans="1:9" ht="24">
      <c r="A94" s="127" t="s">
        <v>643</v>
      </c>
      <c r="B94" s="127">
        <v>3</v>
      </c>
      <c r="C94" s="127" t="s">
        <v>644</v>
      </c>
      <c r="D94" s="127" t="s">
        <v>641</v>
      </c>
      <c r="E94" s="124"/>
      <c r="F94" s="1"/>
      <c r="G94" s="1"/>
      <c r="H94" s="1"/>
      <c r="I94" s="1"/>
    </row>
    <row r="95" spans="1:9" ht="36">
      <c r="A95" s="127" t="s">
        <v>645</v>
      </c>
      <c r="B95" s="127">
        <v>3</v>
      </c>
      <c r="C95" s="127" t="s">
        <v>613</v>
      </c>
      <c r="D95" s="127" t="s">
        <v>608</v>
      </c>
      <c r="E95" s="124"/>
      <c r="F95" s="1"/>
      <c r="G95" s="1"/>
      <c r="H95" s="1"/>
      <c r="I95" s="1"/>
    </row>
    <row r="96" spans="1:9" ht="48">
      <c r="A96" s="127" t="s">
        <v>601</v>
      </c>
      <c r="B96" s="127">
        <v>3</v>
      </c>
      <c r="C96" s="127" t="s">
        <v>602</v>
      </c>
      <c r="D96" s="127" t="s">
        <v>646</v>
      </c>
      <c r="E96" s="124"/>
      <c r="F96" s="1"/>
      <c r="G96" s="1"/>
      <c r="H96" s="1"/>
      <c r="I96" s="1"/>
    </row>
    <row r="97" spans="1:9" ht="48">
      <c r="A97" s="127" t="s">
        <v>603</v>
      </c>
      <c r="B97" s="127">
        <v>3</v>
      </c>
      <c r="C97" s="127" t="s">
        <v>604</v>
      </c>
      <c r="D97" s="127" t="s">
        <v>646</v>
      </c>
      <c r="E97" s="124"/>
      <c r="F97" s="1"/>
      <c r="G97" s="1"/>
      <c r="H97" s="1"/>
      <c r="I97" s="1"/>
    </row>
    <row r="98" spans="1:9" ht="48">
      <c r="A98" s="127" t="s">
        <v>605</v>
      </c>
      <c r="B98" s="127">
        <v>3</v>
      </c>
      <c r="C98" s="127" t="s">
        <v>647</v>
      </c>
      <c r="D98" s="127" t="s">
        <v>646</v>
      </c>
      <c r="E98" s="1"/>
      <c r="F98" s="1"/>
      <c r="G98" s="1"/>
      <c r="H98" s="1"/>
      <c r="I98" s="1"/>
    </row>
    <row r="99" spans="1:9" ht="18">
      <c r="A99" s="165" t="s">
        <v>607</v>
      </c>
      <c r="B99" s="165"/>
      <c r="C99" s="165"/>
      <c r="D99" s="165"/>
      <c r="E99" s="1"/>
      <c r="F99" s="1"/>
      <c r="G99" s="1"/>
      <c r="H99" s="1"/>
      <c r="I99" s="1"/>
    </row>
    <row r="100" spans="1:9" ht="60">
      <c r="A100" s="130" t="s">
        <v>648</v>
      </c>
      <c r="B100" s="130">
        <v>3</v>
      </c>
      <c r="C100" s="130" t="s">
        <v>610</v>
      </c>
      <c r="D100" s="130" t="s">
        <v>649</v>
      </c>
      <c r="E100" s="1"/>
      <c r="F100" s="1"/>
      <c r="G100" s="1"/>
      <c r="H100" s="1"/>
      <c r="I100" s="1"/>
    </row>
    <row r="101" spans="1:9" ht="36">
      <c r="A101" s="127" t="s">
        <v>650</v>
      </c>
      <c r="B101" s="127">
        <v>3</v>
      </c>
      <c r="C101" s="127" t="s">
        <v>617</v>
      </c>
      <c r="D101" s="127" t="s">
        <v>608</v>
      </c>
      <c r="E101" s="1"/>
      <c r="F101" s="1"/>
      <c r="G101" s="1"/>
      <c r="H101" s="1"/>
      <c r="I101" s="1"/>
    </row>
    <row r="102" spans="1:9" ht="45">
      <c r="A102" s="128" t="s">
        <v>609</v>
      </c>
      <c r="B102" s="128">
        <v>3</v>
      </c>
      <c r="C102" s="128" t="s">
        <v>610</v>
      </c>
      <c r="D102" s="128" t="s">
        <v>611</v>
      </c>
      <c r="E102" s="1"/>
      <c r="F102" s="1"/>
      <c r="G102" s="1"/>
      <c r="H102" s="1"/>
      <c r="I102" s="1"/>
    </row>
    <row r="103" spans="1:9" ht="30">
      <c r="A103" s="131" t="s">
        <v>651</v>
      </c>
      <c r="B103" s="131">
        <v>3</v>
      </c>
      <c r="C103" s="131" t="s">
        <v>617</v>
      </c>
      <c r="D103" s="131" t="s">
        <v>652</v>
      </c>
      <c r="E103" s="1"/>
      <c r="F103" s="1"/>
      <c r="G103" s="1"/>
      <c r="H103" s="1"/>
      <c r="I103" s="1"/>
    </row>
    <row r="104" spans="1:9" ht="84">
      <c r="A104" s="127" t="s">
        <v>612</v>
      </c>
      <c r="B104" s="127">
        <v>3</v>
      </c>
      <c r="C104" s="127" t="s">
        <v>613</v>
      </c>
      <c r="D104" s="127" t="s">
        <v>653</v>
      </c>
      <c r="E104" s="1"/>
      <c r="F104" s="1"/>
      <c r="G104" s="1"/>
      <c r="H104" s="1"/>
      <c r="I104" s="1"/>
    </row>
    <row r="105" spans="1:9" ht="18">
      <c r="A105" s="165" t="s">
        <v>614</v>
      </c>
      <c r="B105" s="165"/>
      <c r="C105" s="165"/>
      <c r="D105" s="165"/>
      <c r="E105" s="1"/>
      <c r="F105" s="1"/>
      <c r="G105" s="1"/>
      <c r="H105" s="1"/>
      <c r="I105" s="1"/>
    </row>
    <row r="106" spans="1:9" ht="84">
      <c r="A106" s="127" t="s">
        <v>654</v>
      </c>
      <c r="B106" s="127">
        <v>3</v>
      </c>
      <c r="C106" s="127" t="s">
        <v>615</v>
      </c>
      <c r="D106" s="127" t="s">
        <v>655</v>
      </c>
      <c r="E106" s="1"/>
      <c r="F106" s="1"/>
      <c r="G106" s="1"/>
      <c r="H106" s="1"/>
      <c r="I106" s="1"/>
    </row>
    <row r="107" spans="1:9" ht="84">
      <c r="A107" s="127" t="s">
        <v>656</v>
      </c>
      <c r="B107" s="127">
        <v>3</v>
      </c>
      <c r="C107" s="127" t="s">
        <v>615</v>
      </c>
      <c r="D107" s="127" t="s">
        <v>657</v>
      </c>
      <c r="E107" s="1"/>
      <c r="F107" s="1"/>
      <c r="G107" s="1"/>
      <c r="H107" s="1"/>
      <c r="I107" s="1"/>
    </row>
    <row r="108" spans="1:9" ht="48">
      <c r="A108" s="127" t="s">
        <v>658</v>
      </c>
      <c r="B108" s="127">
        <v>3</v>
      </c>
      <c r="C108" s="127" t="s">
        <v>615</v>
      </c>
      <c r="D108" s="127" t="s">
        <v>659</v>
      </c>
      <c r="E108" s="1"/>
      <c r="F108" s="1"/>
      <c r="G108" s="1"/>
      <c r="H108" s="1"/>
      <c r="I108" s="1"/>
    </row>
    <row r="109" spans="1:9" ht="84">
      <c r="A109" s="127" t="s">
        <v>618</v>
      </c>
      <c r="B109" s="127">
        <v>3</v>
      </c>
      <c r="C109" s="127" t="s">
        <v>617</v>
      </c>
      <c r="D109" s="127" t="s">
        <v>660</v>
      </c>
      <c r="E109" s="1"/>
      <c r="F109" s="1"/>
      <c r="G109" s="1"/>
      <c r="H109" s="1"/>
      <c r="I109" s="1"/>
    </row>
    <row r="110" spans="1:9" ht="18">
      <c r="A110" s="165" t="s">
        <v>619</v>
      </c>
      <c r="B110" s="165"/>
      <c r="C110" s="165"/>
      <c r="D110" s="165"/>
      <c r="E110" s="1"/>
      <c r="F110" s="1"/>
      <c r="G110" s="1"/>
      <c r="H110" s="1"/>
      <c r="I110" s="1"/>
    </row>
    <row r="111" spans="1:9" ht="75">
      <c r="A111" s="130" t="s">
        <v>620</v>
      </c>
      <c r="B111" s="130">
        <v>3</v>
      </c>
      <c r="C111" s="130" t="s">
        <v>602</v>
      </c>
      <c r="D111" s="130" t="s">
        <v>661</v>
      </c>
      <c r="E111" s="1"/>
      <c r="F111" s="1"/>
      <c r="G111" s="1"/>
      <c r="H111" s="1"/>
      <c r="I111" s="1"/>
    </row>
    <row r="112" spans="1:9" ht="60">
      <c r="A112" s="130" t="s">
        <v>662</v>
      </c>
      <c r="B112" s="130">
        <v>3</v>
      </c>
      <c r="C112" s="130" t="s">
        <v>604</v>
      </c>
      <c r="D112" s="130" t="s">
        <v>663</v>
      </c>
      <c r="E112" s="1"/>
      <c r="F112" s="1"/>
      <c r="G112" s="1"/>
      <c r="H112" s="1"/>
      <c r="I112" s="1"/>
    </row>
    <row r="113" spans="1:9" ht="24">
      <c r="A113" s="127" t="s">
        <v>621</v>
      </c>
      <c r="B113" s="127">
        <v>3</v>
      </c>
      <c r="C113" s="127" t="s">
        <v>606</v>
      </c>
      <c r="D113" s="127" t="s">
        <v>622</v>
      </c>
      <c r="E113" s="1"/>
      <c r="F113" s="1"/>
      <c r="G113" s="1"/>
      <c r="H113" s="1"/>
      <c r="I113" s="1"/>
    </row>
    <row r="114" spans="1:9">
      <c r="A114" s="166" t="s">
        <v>664</v>
      </c>
      <c r="B114" s="166"/>
      <c r="C114" s="166"/>
      <c r="D114" s="166"/>
      <c r="E114" s="1"/>
      <c r="F114" s="1"/>
      <c r="G114" s="1"/>
      <c r="H114" s="1"/>
      <c r="I114" s="1"/>
    </row>
    <row r="115" spans="1:9" ht="30">
      <c r="A115" s="129" t="s">
        <v>625</v>
      </c>
      <c r="B115" s="129" t="s">
        <v>626</v>
      </c>
      <c r="C115" s="129" t="s">
        <v>627</v>
      </c>
      <c r="D115" s="129" t="s">
        <v>665</v>
      </c>
      <c r="E115" s="1"/>
      <c r="F115" s="1"/>
      <c r="G115" s="1"/>
      <c r="H115" s="1"/>
      <c r="I115" s="1"/>
    </row>
    <row r="116" spans="1:9" ht="120">
      <c r="A116" s="129" t="s">
        <v>666</v>
      </c>
      <c r="B116" s="129">
        <v>3</v>
      </c>
      <c r="C116" s="129" t="s">
        <v>615</v>
      </c>
      <c r="D116" s="129" t="s">
        <v>667</v>
      </c>
      <c r="E116" s="1"/>
      <c r="F116" s="1"/>
      <c r="G116" s="1"/>
      <c r="H116" s="1"/>
      <c r="I116" s="1"/>
    </row>
    <row r="117" spans="1:9" ht="45">
      <c r="A117" s="129" t="s">
        <v>675</v>
      </c>
      <c r="B117" s="129">
        <v>3</v>
      </c>
      <c r="C117" s="129" t="s">
        <v>615</v>
      </c>
      <c r="D117" s="129" t="s">
        <v>668</v>
      </c>
      <c r="E117" s="1"/>
      <c r="F117" s="1"/>
      <c r="G117" s="1"/>
      <c r="H117" s="1"/>
      <c r="I117" s="1"/>
    </row>
    <row r="118" spans="1:9" ht="45">
      <c r="A118" s="129" t="s">
        <v>669</v>
      </c>
      <c r="B118" s="129">
        <v>3</v>
      </c>
      <c r="C118" s="129" t="s">
        <v>615</v>
      </c>
      <c r="D118" s="129" t="s">
        <v>670</v>
      </c>
      <c r="E118" s="1"/>
      <c r="F118" s="1"/>
      <c r="G118" s="1"/>
      <c r="H118" s="1"/>
      <c r="I118" s="1"/>
    </row>
    <row r="119" spans="1:9" ht="30">
      <c r="A119" s="129" t="s">
        <v>676</v>
      </c>
      <c r="B119" s="129">
        <v>3</v>
      </c>
      <c r="C119" s="129" t="s">
        <v>615</v>
      </c>
      <c r="D119" s="129" t="s">
        <v>671</v>
      </c>
      <c r="E119" s="1"/>
      <c r="F119" s="1"/>
      <c r="G119" s="1"/>
      <c r="H119" s="1"/>
      <c r="I119" s="1"/>
    </row>
    <row r="120" spans="1:9" ht="30">
      <c r="A120" s="129" t="s">
        <v>672</v>
      </c>
      <c r="B120" s="129">
        <v>3</v>
      </c>
      <c r="C120" s="129" t="s">
        <v>615</v>
      </c>
      <c r="D120" s="129" t="s">
        <v>178</v>
      </c>
      <c r="E120" s="1"/>
      <c r="F120" s="1"/>
      <c r="G120" s="1"/>
      <c r="H120" s="1"/>
      <c r="I120" s="1"/>
    </row>
    <row r="121" spans="1:9">
      <c r="A121" s="166" t="s">
        <v>673</v>
      </c>
      <c r="B121" s="166"/>
      <c r="C121" s="166"/>
      <c r="D121" s="166"/>
      <c r="E121" s="1"/>
      <c r="F121" s="1"/>
      <c r="G121" s="1"/>
      <c r="H121" s="1"/>
      <c r="I121" s="1"/>
    </row>
    <row r="122" spans="1:9">
      <c r="A122" s="164" t="s">
        <v>674</v>
      </c>
      <c r="B122" s="164"/>
      <c r="C122" s="164"/>
      <c r="D122" s="164"/>
      <c r="E122" s="1"/>
      <c r="F122" s="1"/>
      <c r="G122" s="1"/>
      <c r="H122" s="1"/>
      <c r="I122" s="1"/>
    </row>
    <row r="123" spans="1:9">
      <c r="A123" s="1"/>
      <c r="B123" s="1"/>
      <c r="C123" s="1"/>
      <c r="D123" s="1"/>
      <c r="E123" s="1"/>
      <c r="F123" s="1"/>
      <c r="G123" s="1"/>
      <c r="H123" s="1"/>
      <c r="I123" s="1"/>
    </row>
    <row r="124" spans="1:9">
      <c r="A124" s="1"/>
      <c r="B124" s="1"/>
      <c r="C124" s="1"/>
      <c r="D124" s="1"/>
      <c r="E124" s="1"/>
      <c r="F124" s="1"/>
      <c r="G124" s="1"/>
      <c r="H124" s="1"/>
      <c r="I124" s="1"/>
    </row>
    <row r="125" spans="1:9">
      <c r="A125" s="1"/>
      <c r="B125" s="1"/>
      <c r="C125" s="1"/>
      <c r="D125" s="1"/>
      <c r="E125" s="1"/>
      <c r="F125" s="1"/>
      <c r="G125" s="1"/>
      <c r="H125" s="1"/>
      <c r="I125" s="1"/>
    </row>
    <row r="126" spans="1:9">
      <c r="A126" s="1"/>
      <c r="B126" s="1"/>
      <c r="C126" s="1"/>
      <c r="D126" s="1"/>
      <c r="E126" s="1"/>
      <c r="F126" s="1"/>
      <c r="G126" s="1"/>
      <c r="H126" s="1"/>
      <c r="I126" s="1"/>
    </row>
    <row r="127" spans="1:9">
      <c r="A127" s="1"/>
      <c r="B127" s="1"/>
      <c r="C127" s="1"/>
      <c r="D127" s="1"/>
      <c r="E127" s="1"/>
      <c r="F127" s="1"/>
      <c r="G127" s="1"/>
      <c r="H127" s="1"/>
      <c r="I127" s="1"/>
    </row>
    <row r="128" spans="1:9">
      <c r="A128" s="1"/>
      <c r="B128" s="1"/>
      <c r="C128" s="1"/>
      <c r="D128" s="1"/>
      <c r="E128" s="1"/>
      <c r="F128" s="1"/>
      <c r="G128" s="1"/>
      <c r="H128" s="1"/>
      <c r="I128" s="1"/>
    </row>
    <row r="129" spans="1:9">
      <c r="A129" s="1"/>
      <c r="B129" s="1"/>
      <c r="C129" s="1"/>
      <c r="D129" s="1"/>
      <c r="E129" s="1"/>
      <c r="F129" s="1"/>
      <c r="G129" s="1"/>
      <c r="H129" s="1"/>
      <c r="I129" s="1"/>
    </row>
    <row r="130" spans="1:9">
      <c r="A130" s="1"/>
      <c r="B130" s="1"/>
      <c r="C130" s="1"/>
      <c r="D130" s="1"/>
      <c r="E130" s="1"/>
      <c r="F130" s="1"/>
      <c r="G130" s="1"/>
      <c r="H130" s="1"/>
      <c r="I130" s="1"/>
    </row>
    <row r="131" spans="1:9">
      <c r="A131" s="1"/>
      <c r="B131" s="1"/>
      <c r="C131" s="1"/>
      <c r="D131" s="1"/>
      <c r="E131" s="1"/>
      <c r="F131" s="1"/>
      <c r="G131" s="1"/>
      <c r="H131" s="1"/>
      <c r="I131" s="1"/>
    </row>
    <row r="132" spans="1:9">
      <c r="A132" s="1"/>
      <c r="B132" s="1"/>
      <c r="C132" s="1"/>
      <c r="D132" s="1"/>
      <c r="E132" s="1"/>
      <c r="F132" s="1"/>
      <c r="G132" s="1"/>
      <c r="H132" s="1"/>
      <c r="I132" s="1"/>
    </row>
    <row r="133" spans="1:9">
      <c r="A133" s="1"/>
      <c r="B133" s="1"/>
      <c r="C133" s="1"/>
      <c r="D133" s="1"/>
      <c r="E133" s="1"/>
      <c r="F133" s="1"/>
      <c r="G133" s="1"/>
      <c r="H133" s="1"/>
      <c r="I133" s="1"/>
    </row>
    <row r="134" spans="1:9">
      <c r="A134" s="1"/>
      <c r="B134" s="1"/>
      <c r="C134" s="1"/>
      <c r="D134" s="1"/>
      <c r="E134" s="1"/>
      <c r="F134" s="1"/>
      <c r="G134" s="1"/>
      <c r="H134" s="1"/>
      <c r="I134" s="1"/>
    </row>
    <row r="135" spans="1:9">
      <c r="A135" s="1"/>
      <c r="B135" s="1"/>
      <c r="C135" s="1"/>
      <c r="D135" s="1"/>
      <c r="E135" s="1"/>
      <c r="F135" s="1"/>
      <c r="G135" s="1"/>
      <c r="H135" s="1"/>
      <c r="I135" s="1"/>
    </row>
    <row r="136" spans="1:9">
      <c r="A136" s="1"/>
      <c r="B136" s="1"/>
      <c r="C136" s="1"/>
      <c r="D136" s="1"/>
      <c r="E136" s="1"/>
      <c r="F136" s="1"/>
      <c r="G136" s="1"/>
      <c r="H136" s="1"/>
      <c r="I136" s="1"/>
    </row>
    <row r="137" spans="1:9">
      <c r="A137" s="1"/>
      <c r="B137" s="1"/>
      <c r="C137" s="1"/>
      <c r="D137" s="1"/>
      <c r="E137" s="1"/>
      <c r="F137" s="1"/>
      <c r="G137" s="1"/>
      <c r="H137" s="1"/>
      <c r="I137" s="1"/>
    </row>
    <row r="138" spans="1:9">
      <c r="A138" s="1"/>
      <c r="B138" s="1"/>
      <c r="C138" s="1"/>
      <c r="D138" s="1"/>
      <c r="E138" s="1"/>
      <c r="F138" s="1"/>
      <c r="G138" s="1"/>
      <c r="H138" s="1"/>
      <c r="I138" s="1"/>
    </row>
    <row r="139" spans="1:9">
      <c r="A139" s="1"/>
      <c r="B139" s="1"/>
      <c r="C139" s="1"/>
      <c r="D139" s="1"/>
      <c r="E139" s="1"/>
      <c r="F139" s="1"/>
      <c r="G139" s="1"/>
      <c r="H139" s="1"/>
      <c r="I139" s="1"/>
    </row>
    <row r="140" spans="1:9">
      <c r="A140" s="1"/>
      <c r="B140" s="1"/>
      <c r="C140" s="1"/>
      <c r="D140" s="1"/>
      <c r="E140" s="1"/>
      <c r="F140" s="1"/>
      <c r="G140" s="1"/>
      <c r="H140" s="1"/>
      <c r="I140" s="1"/>
    </row>
    <row r="141" spans="1:9">
      <c r="A141" s="1"/>
      <c r="B141" s="1"/>
      <c r="C141" s="1"/>
      <c r="D141" s="1"/>
      <c r="E141" s="1"/>
      <c r="F141" s="1"/>
      <c r="G141" s="1"/>
      <c r="H141" s="1"/>
      <c r="I141" s="1"/>
    </row>
    <row r="142" spans="1:9">
      <c r="A142" s="1"/>
      <c r="B142" s="1"/>
      <c r="C142" s="1"/>
      <c r="D142" s="1"/>
      <c r="E142" s="1"/>
      <c r="F142" s="1"/>
      <c r="G142" s="1"/>
      <c r="H142" s="1"/>
      <c r="I142" s="1"/>
    </row>
    <row r="143" spans="1:9">
      <c r="A143" s="1"/>
      <c r="B143" s="1"/>
      <c r="C143" s="1"/>
      <c r="D143" s="1"/>
      <c r="E143" s="1"/>
      <c r="F143" s="1"/>
      <c r="G143" s="1"/>
      <c r="H143" s="1"/>
      <c r="I143" s="1"/>
    </row>
    <row r="144" spans="1:9">
      <c r="A144" s="1"/>
      <c r="B144" s="1"/>
      <c r="C144" s="1"/>
      <c r="D144" s="1"/>
      <c r="E144" s="1"/>
      <c r="F144" s="1"/>
      <c r="G144" s="1"/>
      <c r="H144" s="1"/>
      <c r="I144" s="1"/>
    </row>
    <row r="145" spans="1:9">
      <c r="A145" s="1"/>
      <c r="B145" s="1"/>
      <c r="C145" s="1"/>
      <c r="D145" s="1"/>
      <c r="E145" s="1"/>
      <c r="F145" s="1"/>
      <c r="G145" s="1"/>
      <c r="H145" s="1"/>
      <c r="I145" s="1"/>
    </row>
    <row r="146" spans="1:9">
      <c r="A146" s="1"/>
      <c r="B146" s="1"/>
      <c r="C146" s="1"/>
      <c r="D146" s="1"/>
      <c r="E146" s="1"/>
      <c r="F146" s="1"/>
      <c r="G146" s="1"/>
      <c r="H146" s="1"/>
      <c r="I146" s="1"/>
    </row>
    <row r="147" spans="1:9">
      <c r="A147" s="1"/>
      <c r="B147" s="1"/>
      <c r="C147" s="1"/>
      <c r="D147" s="1"/>
      <c r="E147" s="1"/>
      <c r="F147" s="1"/>
      <c r="G147" s="1"/>
      <c r="H147" s="1"/>
      <c r="I147" s="1"/>
    </row>
    <row r="148" spans="1:9">
      <c r="A148" s="1"/>
      <c r="B148" s="1"/>
      <c r="C148" s="1"/>
      <c r="D148" s="1"/>
      <c r="E148" s="1"/>
      <c r="F148" s="1"/>
      <c r="G148" s="1"/>
      <c r="H148" s="1"/>
      <c r="I148" s="1"/>
    </row>
    <row r="149" spans="1:9">
      <c r="A149" s="1"/>
      <c r="B149" s="1"/>
      <c r="C149" s="1"/>
      <c r="D149" s="1"/>
      <c r="E149" s="1"/>
      <c r="F149" s="1"/>
      <c r="G149" s="1"/>
      <c r="H149" s="1"/>
      <c r="I149" s="1"/>
    </row>
    <row r="150" spans="1:9">
      <c r="A150" s="1"/>
      <c r="B150" s="1"/>
      <c r="C150" s="1"/>
      <c r="D150" s="1"/>
      <c r="E150" s="1"/>
      <c r="F150" s="1"/>
      <c r="G150" s="1"/>
      <c r="H150" s="1"/>
      <c r="I150" s="1"/>
    </row>
    <row r="151" spans="1:9">
      <c r="A151" s="1"/>
      <c r="B151" s="1"/>
      <c r="C151" s="1"/>
      <c r="D151" s="1"/>
      <c r="E151" s="1"/>
      <c r="F151" s="1"/>
      <c r="G151" s="1"/>
      <c r="H151" s="1"/>
      <c r="I151" s="1"/>
    </row>
    <row r="152" spans="1:9">
      <c r="A152" s="1"/>
      <c r="B152" s="1"/>
      <c r="C152" s="1"/>
      <c r="D152" s="1"/>
      <c r="E152" s="1"/>
      <c r="F152" s="1"/>
      <c r="G152" s="1"/>
      <c r="H152" s="1"/>
      <c r="I152" s="1"/>
    </row>
    <row r="153" spans="1:9">
      <c r="A153" s="1"/>
      <c r="B153" s="1"/>
      <c r="C153" s="1"/>
      <c r="D153" s="1"/>
      <c r="E153" s="1"/>
      <c r="F153" s="1"/>
      <c r="G153" s="1"/>
      <c r="H153" s="1"/>
      <c r="I153" s="1"/>
    </row>
    <row r="154" spans="1:9">
      <c r="A154" s="1"/>
      <c r="B154" s="1"/>
      <c r="C154" s="1"/>
      <c r="D154" s="1"/>
      <c r="E154" s="1"/>
      <c r="F154" s="1"/>
      <c r="G154" s="1"/>
      <c r="H154" s="1"/>
      <c r="I154" s="1"/>
    </row>
    <row r="155" spans="1:9">
      <c r="A155" s="1"/>
      <c r="B155" s="1"/>
      <c r="C155" s="1"/>
      <c r="D155" s="1"/>
      <c r="E155" s="1"/>
      <c r="F155" s="1"/>
      <c r="G155" s="1"/>
      <c r="H155" s="1"/>
      <c r="I155" s="1"/>
    </row>
    <row r="156" spans="1:9">
      <c r="A156" s="1"/>
      <c r="B156" s="1"/>
      <c r="C156" s="1"/>
      <c r="D156" s="1"/>
      <c r="E156" s="1"/>
      <c r="F156" s="1"/>
      <c r="G156" s="1"/>
      <c r="H156" s="1"/>
      <c r="I156" s="1"/>
    </row>
    <row r="157" spans="1:9">
      <c r="A157" s="1"/>
      <c r="B157" s="1"/>
      <c r="C157" s="1"/>
      <c r="D157" s="1"/>
      <c r="E157" s="1"/>
      <c r="F157" s="1"/>
      <c r="G157" s="1"/>
      <c r="H157" s="1"/>
      <c r="I157" s="1"/>
    </row>
    <row r="158" spans="1:9">
      <c r="A158" s="1"/>
      <c r="B158" s="1"/>
      <c r="C158" s="1"/>
      <c r="D158" s="1"/>
      <c r="E158" s="1"/>
      <c r="F158" s="1"/>
      <c r="G158" s="1"/>
      <c r="H158" s="1"/>
      <c r="I158" s="1"/>
    </row>
    <row r="159" spans="1:9">
      <c r="A159" s="1"/>
      <c r="B159" s="1"/>
      <c r="C159" s="1"/>
      <c r="D159" s="1"/>
      <c r="E159" s="1"/>
      <c r="F159" s="1"/>
      <c r="G159" s="1"/>
      <c r="H159" s="1"/>
      <c r="I159" s="1"/>
    </row>
    <row r="160" spans="1:9">
      <c r="A160" s="1"/>
      <c r="B160" s="1"/>
      <c r="C160" s="1"/>
      <c r="D160" s="1"/>
      <c r="E160" s="1"/>
      <c r="F160" s="1"/>
      <c r="G160" s="1"/>
      <c r="H160" s="1"/>
      <c r="I160" s="1"/>
    </row>
    <row r="161" spans="1:9">
      <c r="A161" s="1"/>
      <c r="B161" s="1"/>
      <c r="C161" s="1"/>
      <c r="D161" s="1"/>
      <c r="E161" s="1"/>
      <c r="F161" s="1"/>
      <c r="G161" s="1"/>
      <c r="H161" s="1"/>
      <c r="I161" s="1"/>
    </row>
    <row r="162" spans="1:9">
      <c r="A162" s="1"/>
      <c r="B162" s="1"/>
      <c r="C162" s="1"/>
      <c r="D162" s="1"/>
      <c r="E162" s="1"/>
      <c r="F162" s="1"/>
      <c r="G162" s="1"/>
      <c r="H162" s="1"/>
      <c r="I162" s="1"/>
    </row>
    <row r="163" spans="1:9">
      <c r="A163" s="1"/>
      <c r="B163" s="1"/>
      <c r="C163" s="1"/>
      <c r="D163" s="1"/>
      <c r="E163" s="1"/>
      <c r="F163" s="1"/>
      <c r="G163" s="1"/>
      <c r="H163" s="1"/>
      <c r="I163" s="1"/>
    </row>
    <row r="164" spans="1:9">
      <c r="A164" s="1"/>
      <c r="B164" s="1"/>
      <c r="C164" s="1"/>
      <c r="D164" s="1"/>
      <c r="E164" s="1"/>
      <c r="F164" s="1"/>
      <c r="G164" s="1"/>
      <c r="H164" s="1"/>
      <c r="I164" s="1"/>
    </row>
    <row r="165" spans="1:9">
      <c r="A165" s="1"/>
      <c r="B165" s="1"/>
      <c r="C165" s="1"/>
      <c r="D165" s="1"/>
      <c r="E165" s="1"/>
      <c r="F165" s="1"/>
      <c r="G165" s="1"/>
      <c r="H165" s="1"/>
      <c r="I165" s="1"/>
    </row>
    <row r="166" spans="1:9">
      <c r="A166" s="1"/>
      <c r="B166" s="1"/>
      <c r="C166" s="1"/>
      <c r="D166" s="1"/>
      <c r="E166" s="1"/>
      <c r="F166" s="1"/>
      <c r="G166" s="1"/>
      <c r="H166" s="1"/>
      <c r="I166" s="1"/>
    </row>
    <row r="167" spans="1:9">
      <c r="A167" s="1"/>
      <c r="B167" s="1"/>
      <c r="C167" s="1"/>
      <c r="D167" s="1"/>
      <c r="E167" s="1"/>
      <c r="F167" s="1"/>
      <c r="G167" s="1"/>
      <c r="H167" s="1"/>
      <c r="I167" s="1"/>
    </row>
    <row r="168" spans="1:9">
      <c r="A168" s="1"/>
      <c r="B168" s="1"/>
      <c r="C168" s="1"/>
      <c r="D168" s="1"/>
      <c r="E168" s="1"/>
      <c r="F168" s="1"/>
      <c r="G168" s="1"/>
      <c r="H168" s="1"/>
      <c r="I168" s="1"/>
    </row>
    <row r="169" spans="1:9">
      <c r="A169" s="1"/>
      <c r="B169" s="1"/>
      <c r="C169" s="1"/>
      <c r="D169" s="1"/>
      <c r="E169" s="1"/>
      <c r="F169" s="1"/>
      <c r="G169" s="1"/>
      <c r="H169" s="1"/>
      <c r="I169" s="1"/>
    </row>
    <row r="170" spans="1:9">
      <c r="A170" s="1"/>
      <c r="B170" s="1"/>
      <c r="C170" s="1"/>
      <c r="D170" s="1"/>
      <c r="E170" s="1"/>
      <c r="F170" s="1"/>
      <c r="G170" s="1"/>
      <c r="H170" s="1"/>
      <c r="I170" s="1"/>
    </row>
    <row r="171" spans="1:9">
      <c r="A171" s="1"/>
      <c r="B171" s="1"/>
      <c r="C171" s="1"/>
      <c r="D171" s="1"/>
      <c r="E171" s="1"/>
      <c r="F171" s="1"/>
      <c r="G171" s="1"/>
      <c r="H171" s="1"/>
      <c r="I171" s="1"/>
    </row>
    <row r="172" spans="1:9">
      <c r="A172" s="1"/>
      <c r="B172" s="1"/>
      <c r="C172" s="1"/>
      <c r="D172" s="1"/>
      <c r="E172" s="1"/>
      <c r="F172" s="1"/>
      <c r="G172" s="1"/>
      <c r="H172" s="1"/>
      <c r="I172" s="1"/>
    </row>
    <row r="173" spans="1:9">
      <c r="A173" s="1"/>
      <c r="B173" s="1"/>
      <c r="C173" s="1"/>
      <c r="D173" s="1"/>
      <c r="E173" s="1"/>
      <c r="F173" s="1"/>
      <c r="G173" s="1"/>
      <c r="H173" s="1"/>
      <c r="I173" s="1"/>
    </row>
    <row r="174" spans="1:9">
      <c r="A174" s="1"/>
      <c r="B174" s="1"/>
      <c r="C174" s="1"/>
      <c r="D174" s="1"/>
      <c r="E174" s="1"/>
      <c r="F174" s="1"/>
      <c r="G174" s="1"/>
      <c r="H174" s="1"/>
      <c r="I174" s="1"/>
    </row>
    <row r="175" spans="1:9">
      <c r="A175" s="1"/>
      <c r="B175" s="1"/>
      <c r="C175" s="1"/>
      <c r="D175" s="1"/>
      <c r="E175" s="1"/>
      <c r="F175" s="1"/>
      <c r="G175" s="1"/>
      <c r="H175" s="1"/>
      <c r="I175" s="1"/>
    </row>
    <row r="176" spans="1:9">
      <c r="A176" s="1"/>
      <c r="B176" s="1"/>
      <c r="C176" s="1"/>
      <c r="D176" s="1"/>
      <c r="E176" s="1"/>
      <c r="F176" s="1"/>
      <c r="G176" s="1"/>
      <c r="H176" s="1"/>
      <c r="I176" s="1"/>
    </row>
    <row r="177" spans="1:9">
      <c r="A177" s="1"/>
      <c r="B177" s="1"/>
      <c r="C177" s="1"/>
      <c r="D177" s="1"/>
      <c r="E177" s="1"/>
      <c r="F177" s="1"/>
      <c r="G177" s="1"/>
      <c r="H177" s="1"/>
      <c r="I177" s="1"/>
    </row>
    <row r="178" spans="1:9">
      <c r="A178" s="1"/>
      <c r="B178" s="1"/>
      <c r="C178" s="1"/>
      <c r="D178" s="1"/>
      <c r="E178" s="1"/>
      <c r="F178" s="1"/>
      <c r="G178" s="1"/>
      <c r="H178" s="1"/>
      <c r="I178" s="1"/>
    </row>
    <row r="179" spans="1:9">
      <c r="A179" s="1"/>
      <c r="B179" s="1"/>
      <c r="C179" s="1"/>
      <c r="D179" s="1"/>
      <c r="E179" s="1"/>
      <c r="F179" s="1"/>
      <c r="G179" s="1"/>
      <c r="H179" s="1"/>
      <c r="I179" s="1"/>
    </row>
    <row r="180" spans="1:9">
      <c r="A180" s="1"/>
      <c r="B180" s="1"/>
      <c r="C180" s="1"/>
      <c r="D180" s="1"/>
      <c r="E180" s="1"/>
      <c r="F180" s="1"/>
      <c r="G180" s="1"/>
      <c r="H180" s="1"/>
      <c r="I180" s="1"/>
    </row>
    <row r="181" spans="1:9">
      <c r="A181" s="1"/>
      <c r="B181" s="1"/>
      <c r="C181" s="1"/>
      <c r="D181" s="1"/>
      <c r="E181" s="1"/>
      <c r="F181" s="1"/>
      <c r="G181" s="1"/>
      <c r="H181" s="1"/>
      <c r="I181" s="1"/>
    </row>
    <row r="182" spans="1:9">
      <c r="A182" s="1"/>
      <c r="B182" s="1"/>
      <c r="C182" s="1"/>
      <c r="D182" s="1"/>
      <c r="E182" s="1"/>
      <c r="F182" s="1"/>
      <c r="G182" s="1"/>
      <c r="H182" s="1"/>
      <c r="I182" s="1"/>
    </row>
    <row r="183" spans="1:9">
      <c r="A183" s="1"/>
      <c r="B183" s="1"/>
      <c r="C183" s="1"/>
      <c r="D183" s="1"/>
      <c r="E183" s="1"/>
      <c r="F183" s="1"/>
      <c r="G183" s="1"/>
      <c r="H183" s="1"/>
      <c r="I183" s="1"/>
    </row>
    <row r="184" spans="1:9">
      <c r="A184" s="1"/>
      <c r="B184" s="1"/>
      <c r="C184" s="1"/>
      <c r="D184" s="1"/>
      <c r="E184" s="1"/>
      <c r="F184" s="1"/>
      <c r="G184" s="1"/>
      <c r="H184" s="1"/>
      <c r="I184" s="1"/>
    </row>
    <row r="185" spans="1:9">
      <c r="A185" s="1"/>
      <c r="B185" s="1"/>
      <c r="C185" s="1"/>
      <c r="D185" s="1"/>
      <c r="E185" s="1"/>
      <c r="F185" s="1"/>
      <c r="G185" s="1"/>
      <c r="H185" s="1"/>
      <c r="I185" s="1"/>
    </row>
    <row r="186" spans="1:9">
      <c r="A186" s="1"/>
      <c r="B186" s="1"/>
      <c r="C186" s="1"/>
      <c r="D186" s="1"/>
      <c r="E186" s="1"/>
      <c r="F186" s="1"/>
      <c r="G186" s="1"/>
      <c r="H186" s="1"/>
      <c r="I186" s="1"/>
    </row>
    <row r="187" spans="1:9">
      <c r="A187" s="1"/>
      <c r="B187" s="1"/>
      <c r="C187" s="1"/>
      <c r="D187" s="1"/>
      <c r="E187" s="1"/>
      <c r="F187" s="1"/>
      <c r="G187" s="1"/>
      <c r="H187" s="1"/>
      <c r="I187" s="1"/>
    </row>
    <row r="188" spans="1:9">
      <c r="A188" s="1"/>
      <c r="B188" s="1"/>
      <c r="C188" s="1"/>
      <c r="D188" s="1"/>
      <c r="E188" s="1"/>
      <c r="F188" s="1"/>
      <c r="G188" s="1"/>
      <c r="H188" s="1"/>
      <c r="I188" s="1"/>
    </row>
    <row r="189" spans="1:9">
      <c r="A189" s="1"/>
      <c r="B189" s="1"/>
      <c r="C189" s="1"/>
      <c r="D189" s="1"/>
      <c r="E189" s="1"/>
      <c r="F189" s="1"/>
      <c r="G189" s="1"/>
      <c r="H189" s="1"/>
      <c r="I189" s="1"/>
    </row>
    <row r="190" spans="1:9">
      <c r="A190" s="1"/>
      <c r="B190" s="1"/>
      <c r="C190" s="1"/>
      <c r="D190" s="1"/>
      <c r="E190" s="1"/>
      <c r="F190" s="1"/>
      <c r="G190" s="1"/>
      <c r="H190" s="1"/>
      <c r="I190" s="1"/>
    </row>
    <row r="191" spans="1:9">
      <c r="A191" s="1"/>
      <c r="B191" s="1"/>
      <c r="C191" s="1"/>
      <c r="D191" s="1"/>
      <c r="E191" s="1"/>
      <c r="F191" s="1"/>
      <c r="G191" s="1"/>
      <c r="H191" s="1"/>
      <c r="I191" s="1"/>
    </row>
    <row r="192" spans="1:9">
      <c r="A192" s="1"/>
      <c r="B192" s="1"/>
      <c r="C192" s="1"/>
      <c r="D192" s="1"/>
      <c r="E192" s="1"/>
      <c r="F192" s="1"/>
      <c r="G192" s="1"/>
      <c r="H192" s="1"/>
      <c r="I192" s="1"/>
    </row>
    <row r="193" spans="1:9">
      <c r="A193" s="1"/>
      <c r="B193" s="1"/>
      <c r="C193" s="1"/>
      <c r="D193" s="1"/>
      <c r="E193" s="1"/>
      <c r="F193" s="1"/>
      <c r="G193" s="1"/>
      <c r="H193" s="1"/>
      <c r="I193" s="1"/>
    </row>
    <row r="194" spans="1:9">
      <c r="A194" s="1"/>
      <c r="B194" s="1"/>
      <c r="C194" s="1"/>
      <c r="D194" s="1"/>
      <c r="E194" s="1"/>
      <c r="F194" s="1"/>
      <c r="G194" s="1"/>
      <c r="H194" s="1"/>
      <c r="I194" s="1"/>
    </row>
    <row r="195" spans="1:9">
      <c r="A195" s="1"/>
      <c r="B195" s="1"/>
      <c r="C195" s="1"/>
      <c r="D195" s="1"/>
      <c r="E195" s="1"/>
      <c r="F195" s="1"/>
      <c r="G195" s="1"/>
      <c r="H195" s="1"/>
      <c r="I195" s="1"/>
    </row>
    <row r="196" spans="1:9">
      <c r="A196" s="1"/>
      <c r="B196" s="1"/>
      <c r="C196" s="1"/>
      <c r="D196" s="1"/>
      <c r="E196" s="1"/>
      <c r="F196" s="1"/>
      <c r="G196" s="1"/>
      <c r="H196" s="1"/>
      <c r="I196" s="1"/>
    </row>
    <row r="197" spans="1:9">
      <c r="A197" s="1"/>
      <c r="B197" s="1"/>
      <c r="C197" s="1"/>
      <c r="D197" s="1"/>
      <c r="E197" s="1"/>
      <c r="F197" s="1"/>
      <c r="G197" s="1"/>
      <c r="H197" s="1"/>
      <c r="I197" s="1"/>
    </row>
    <row r="198" spans="1:9">
      <c r="A198" s="1"/>
      <c r="B198" s="1"/>
      <c r="C198" s="1"/>
      <c r="D198" s="1"/>
      <c r="E198" s="1"/>
      <c r="F198" s="1"/>
      <c r="G198" s="1"/>
      <c r="H198" s="1"/>
      <c r="I198" s="1"/>
    </row>
    <row r="199" spans="1:9">
      <c r="A199" s="1"/>
      <c r="B199" s="1"/>
      <c r="C199" s="1"/>
      <c r="D199" s="1"/>
      <c r="E199" s="1"/>
      <c r="F199" s="1"/>
      <c r="G199" s="1"/>
      <c r="H199" s="1"/>
      <c r="I199" s="1"/>
    </row>
    <row r="200" spans="1:9">
      <c r="A200" s="1"/>
      <c r="B200" s="1"/>
      <c r="C200" s="1"/>
      <c r="D200" s="1"/>
      <c r="E200" s="1"/>
      <c r="F200" s="1"/>
      <c r="G200" s="1"/>
      <c r="H200" s="1"/>
      <c r="I200" s="1"/>
    </row>
    <row r="201" spans="1:9">
      <c r="A201" s="1"/>
      <c r="B201" s="1"/>
      <c r="C201" s="1"/>
      <c r="D201" s="1"/>
      <c r="E201" s="1"/>
      <c r="F201" s="1"/>
      <c r="G201" s="1"/>
      <c r="H201" s="1"/>
      <c r="I201" s="1"/>
    </row>
    <row r="202" spans="1:9">
      <c r="A202" s="1"/>
      <c r="B202" s="1"/>
      <c r="C202" s="1"/>
      <c r="D202" s="1"/>
      <c r="E202" s="1"/>
      <c r="F202" s="1"/>
      <c r="G202" s="1"/>
      <c r="H202" s="1"/>
      <c r="I202" s="1"/>
    </row>
    <row r="203" spans="1:9">
      <c r="A203" s="1"/>
      <c r="B203" s="1"/>
      <c r="C203" s="1"/>
      <c r="D203" s="1"/>
      <c r="E203" s="1"/>
      <c r="F203" s="1"/>
      <c r="G203" s="1"/>
      <c r="H203" s="1"/>
      <c r="I203" s="1"/>
    </row>
    <row r="204" spans="1:9">
      <c r="A204" s="1"/>
      <c r="B204" s="1"/>
      <c r="C204" s="1"/>
      <c r="D204" s="1"/>
      <c r="E204" s="1"/>
      <c r="F204" s="1"/>
      <c r="G204" s="1"/>
      <c r="H204" s="1"/>
      <c r="I204" s="1"/>
    </row>
    <row r="205" spans="1:9">
      <c r="A205" s="1"/>
      <c r="B205" s="1"/>
      <c r="C205" s="1"/>
      <c r="D205" s="1"/>
      <c r="E205" s="1"/>
      <c r="F205" s="1"/>
      <c r="G205" s="1"/>
      <c r="H205" s="1"/>
      <c r="I205" s="1"/>
    </row>
    <row r="206" spans="1:9">
      <c r="A206" s="1"/>
      <c r="B206" s="1"/>
      <c r="C206" s="1"/>
      <c r="D206" s="1"/>
      <c r="E206" s="1"/>
      <c r="F206" s="1"/>
      <c r="G206" s="1"/>
      <c r="H206" s="1"/>
      <c r="I206" s="1"/>
    </row>
    <row r="207" spans="1:9">
      <c r="A207" s="1"/>
      <c r="B207" s="1"/>
      <c r="C207" s="1"/>
      <c r="D207" s="1"/>
      <c r="E207" s="1"/>
      <c r="F207" s="1"/>
      <c r="G207" s="1"/>
      <c r="H207" s="1"/>
      <c r="I207" s="1"/>
    </row>
    <row r="208" spans="1:9">
      <c r="A208" s="1"/>
      <c r="B208" s="1"/>
      <c r="C208" s="1"/>
      <c r="D208" s="1"/>
      <c r="E208" s="1"/>
      <c r="F208" s="1"/>
      <c r="G208" s="1"/>
      <c r="H208" s="1"/>
      <c r="I208" s="1"/>
    </row>
    <row r="209" spans="1:9">
      <c r="A209" s="1"/>
      <c r="B209" s="1"/>
      <c r="C209" s="1"/>
      <c r="D209" s="1"/>
      <c r="E209" s="1"/>
      <c r="F209" s="1"/>
      <c r="G209" s="1"/>
      <c r="H209" s="1"/>
      <c r="I209" s="1"/>
    </row>
    <row r="210" spans="1:9">
      <c r="A210" s="1"/>
      <c r="B210" s="1"/>
      <c r="C210" s="1"/>
      <c r="D210" s="1"/>
      <c r="E210" s="1"/>
      <c r="F210" s="1"/>
      <c r="G210" s="1"/>
      <c r="H210" s="1"/>
      <c r="I210" s="1"/>
    </row>
    <row r="211" spans="1:9">
      <c r="A211" s="1"/>
      <c r="B211" s="1"/>
      <c r="C211" s="1"/>
      <c r="D211" s="1"/>
      <c r="E211" s="1"/>
      <c r="F211" s="1"/>
      <c r="G211" s="1"/>
      <c r="H211" s="1"/>
      <c r="I211" s="1"/>
    </row>
    <row r="212" spans="1:9">
      <c r="A212" s="1"/>
      <c r="B212" s="1"/>
      <c r="C212" s="1"/>
      <c r="D212" s="1"/>
      <c r="E212" s="1"/>
      <c r="F212" s="1"/>
      <c r="G212" s="1"/>
      <c r="H212" s="1"/>
      <c r="I212" s="1"/>
    </row>
    <row r="213" spans="1:9">
      <c r="A213" s="1"/>
      <c r="B213" s="1"/>
      <c r="C213" s="1"/>
      <c r="D213" s="1"/>
      <c r="E213" s="1"/>
      <c r="F213" s="1"/>
      <c r="G213" s="1"/>
      <c r="H213" s="1"/>
      <c r="I213" s="1"/>
    </row>
    <row r="214" spans="1:9">
      <c r="A214" s="1"/>
      <c r="B214" s="1"/>
      <c r="C214" s="1"/>
      <c r="D214" s="1"/>
      <c r="E214" s="1"/>
      <c r="F214" s="1"/>
      <c r="G214" s="1"/>
      <c r="H214" s="1"/>
      <c r="I214" s="1"/>
    </row>
    <row r="215" spans="1:9">
      <c r="A215" s="1"/>
      <c r="B215" s="1"/>
      <c r="C215" s="1"/>
      <c r="D215" s="1"/>
      <c r="E215" s="1"/>
      <c r="F215" s="1"/>
      <c r="G215" s="1"/>
      <c r="H215" s="1"/>
      <c r="I215" s="1"/>
    </row>
    <row r="216" spans="1:9">
      <c r="A216" s="1"/>
      <c r="B216" s="1"/>
      <c r="C216" s="1"/>
      <c r="D216" s="1"/>
      <c r="E216" s="1"/>
      <c r="F216" s="1"/>
      <c r="G216" s="1"/>
      <c r="H216" s="1"/>
      <c r="I216" s="1"/>
    </row>
    <row r="217" spans="1:9">
      <c r="A217" s="1"/>
      <c r="B217" s="1"/>
      <c r="C217" s="1"/>
      <c r="D217" s="1"/>
      <c r="E217" s="1"/>
      <c r="F217" s="1"/>
      <c r="G217" s="1"/>
      <c r="H217" s="1"/>
      <c r="I217" s="1"/>
    </row>
    <row r="218" spans="1:9">
      <c r="A218" s="1"/>
      <c r="B218" s="1"/>
      <c r="C218" s="1"/>
      <c r="D218" s="1"/>
      <c r="E218" s="1"/>
      <c r="F218" s="1"/>
      <c r="G218" s="1"/>
      <c r="H218" s="1"/>
      <c r="I218" s="1"/>
    </row>
    <row r="219" spans="1:9">
      <c r="A219" s="1"/>
      <c r="B219" s="1"/>
      <c r="C219" s="1"/>
      <c r="D219" s="1"/>
      <c r="E219" s="1"/>
      <c r="F219" s="1"/>
      <c r="G219" s="1"/>
      <c r="H219" s="1"/>
      <c r="I219" s="1"/>
    </row>
    <row r="220" spans="1:9">
      <c r="A220" s="1"/>
      <c r="B220" s="1"/>
      <c r="C220" s="1"/>
      <c r="D220" s="1"/>
      <c r="E220" s="1"/>
      <c r="F220" s="1"/>
      <c r="G220" s="1"/>
      <c r="H220" s="1"/>
      <c r="I220" s="1"/>
    </row>
    <row r="221" spans="1:9">
      <c r="A221" s="1"/>
      <c r="B221" s="1"/>
      <c r="C221" s="1"/>
      <c r="D221" s="1"/>
      <c r="E221" s="1"/>
      <c r="F221" s="1"/>
      <c r="G221" s="1"/>
      <c r="H221" s="1"/>
      <c r="I221" s="1"/>
    </row>
    <row r="222" spans="1:9">
      <c r="A222" s="1"/>
      <c r="B222" s="1"/>
      <c r="C222" s="1"/>
      <c r="D222" s="1"/>
      <c r="E222" s="1"/>
      <c r="F222" s="1"/>
      <c r="G222" s="1"/>
      <c r="H222" s="1"/>
      <c r="I222" s="1"/>
    </row>
    <row r="223" spans="1:9">
      <c r="A223" s="1"/>
      <c r="B223" s="1"/>
      <c r="C223" s="1"/>
      <c r="D223" s="1"/>
      <c r="E223" s="1"/>
      <c r="F223" s="1"/>
      <c r="G223" s="1"/>
      <c r="H223" s="1"/>
      <c r="I223" s="1"/>
    </row>
    <row r="224" spans="1:9">
      <c r="A224" s="1"/>
      <c r="B224" s="1"/>
      <c r="C224" s="1"/>
      <c r="D224" s="1"/>
      <c r="E224" s="1"/>
      <c r="F224" s="1"/>
      <c r="G224" s="1"/>
      <c r="H224" s="1"/>
      <c r="I224" s="1"/>
    </row>
    <row r="225" spans="1:9">
      <c r="A225" s="1"/>
      <c r="B225" s="1"/>
      <c r="C225" s="1"/>
      <c r="D225" s="1"/>
      <c r="E225" s="1"/>
      <c r="F225" s="1"/>
      <c r="G225" s="1"/>
      <c r="H225" s="1"/>
      <c r="I225" s="1"/>
    </row>
    <row r="226" spans="1:9">
      <c r="A226" s="1"/>
      <c r="B226" s="1"/>
      <c r="C226" s="1"/>
      <c r="D226" s="1"/>
      <c r="E226" s="1"/>
      <c r="F226" s="1"/>
      <c r="G226" s="1"/>
      <c r="H226" s="1"/>
      <c r="I226" s="1"/>
    </row>
    <row r="227" spans="1:9">
      <c r="A227" s="1"/>
      <c r="B227" s="1"/>
      <c r="C227" s="1"/>
      <c r="D227" s="1"/>
      <c r="E227" s="1"/>
      <c r="F227" s="1"/>
      <c r="G227" s="1"/>
      <c r="H227" s="1"/>
      <c r="I227" s="1"/>
    </row>
    <row r="228" spans="1:9">
      <c r="A228" s="1"/>
      <c r="B228" s="1"/>
      <c r="C228" s="1"/>
      <c r="D228" s="1"/>
      <c r="E228" s="1"/>
      <c r="F228" s="1"/>
      <c r="G228" s="1"/>
      <c r="H228" s="1"/>
      <c r="I228" s="1"/>
    </row>
    <row r="229" spans="1:9">
      <c r="A229" s="1"/>
      <c r="B229" s="1"/>
      <c r="C229" s="1"/>
      <c r="D229" s="1"/>
      <c r="E229" s="1"/>
      <c r="F229" s="1"/>
      <c r="G229" s="1"/>
      <c r="H229" s="1"/>
      <c r="I229" s="1"/>
    </row>
    <row r="230" spans="1:9">
      <c r="A230" s="1"/>
      <c r="B230" s="1"/>
      <c r="C230" s="1"/>
      <c r="D230" s="1"/>
      <c r="E230" s="1"/>
      <c r="F230" s="1"/>
      <c r="G230" s="1"/>
      <c r="H230" s="1"/>
      <c r="I230" s="1"/>
    </row>
    <row r="231" spans="1:9">
      <c r="A231" s="1"/>
      <c r="B231" s="1"/>
      <c r="C231" s="1"/>
      <c r="D231" s="1"/>
      <c r="E231" s="1"/>
      <c r="F231" s="1"/>
      <c r="G231" s="1"/>
      <c r="H231" s="1"/>
      <c r="I231" s="1"/>
    </row>
    <row r="232" spans="1:9">
      <c r="A232" s="1"/>
      <c r="B232" s="1"/>
      <c r="C232" s="1"/>
      <c r="D232" s="1"/>
      <c r="E232" s="1"/>
      <c r="F232" s="1"/>
      <c r="G232" s="1"/>
      <c r="H232" s="1"/>
      <c r="I232" s="1"/>
    </row>
    <row r="233" spans="1:9">
      <c r="A233" s="1"/>
      <c r="B233" s="1"/>
      <c r="C233" s="1"/>
      <c r="D233" s="1"/>
      <c r="E233" s="1"/>
      <c r="F233" s="1"/>
      <c r="G233" s="1"/>
      <c r="H233" s="1"/>
      <c r="I233" s="1"/>
    </row>
    <row r="234" spans="1:9">
      <c r="A234" s="1"/>
      <c r="B234" s="1"/>
      <c r="C234" s="1"/>
      <c r="D234" s="1"/>
      <c r="E234" s="1"/>
      <c r="F234" s="1"/>
      <c r="G234" s="1"/>
      <c r="H234" s="1"/>
      <c r="I234" s="1"/>
    </row>
    <row r="235" spans="1:9">
      <c r="A235" s="1"/>
      <c r="B235" s="1"/>
      <c r="C235" s="1"/>
      <c r="D235" s="1"/>
      <c r="E235" s="1"/>
      <c r="F235" s="1"/>
      <c r="G235" s="1"/>
      <c r="H235" s="1"/>
      <c r="I235" s="1"/>
    </row>
    <row r="236" spans="1:9">
      <c r="A236" s="1"/>
      <c r="B236" s="1"/>
      <c r="C236" s="1"/>
      <c r="D236" s="1"/>
      <c r="E236" s="1"/>
      <c r="F236" s="1"/>
      <c r="G236" s="1"/>
      <c r="H236" s="1"/>
      <c r="I236" s="1"/>
    </row>
    <row r="237" spans="1:9">
      <c r="A237" s="1"/>
      <c r="B237" s="1"/>
      <c r="C237" s="1"/>
      <c r="D237" s="1"/>
      <c r="E237" s="1"/>
      <c r="F237" s="1"/>
      <c r="G237" s="1"/>
      <c r="H237" s="1"/>
      <c r="I237" s="1"/>
    </row>
    <row r="238" spans="1:9">
      <c r="A238" s="1"/>
      <c r="B238" s="1"/>
      <c r="C238" s="1"/>
      <c r="D238" s="1"/>
      <c r="E238" s="1"/>
      <c r="F238" s="1"/>
      <c r="G238" s="1"/>
      <c r="H238" s="1"/>
      <c r="I238" s="1"/>
    </row>
    <row r="239" spans="1:9">
      <c r="A239" s="1"/>
      <c r="B239" s="1"/>
      <c r="C239" s="1"/>
      <c r="D239" s="1"/>
      <c r="E239" s="1"/>
      <c r="F239" s="1"/>
      <c r="G239" s="1"/>
      <c r="H239" s="1"/>
      <c r="I239" s="1"/>
    </row>
    <row r="240" spans="1:9">
      <c r="A240" s="1"/>
      <c r="B240" s="1"/>
      <c r="C240" s="1"/>
      <c r="D240" s="1"/>
      <c r="E240" s="1"/>
      <c r="F240" s="1"/>
      <c r="G240" s="1"/>
      <c r="H240" s="1"/>
      <c r="I240" s="1"/>
    </row>
    <row r="241" spans="1:9">
      <c r="A241" s="1"/>
      <c r="B241" s="1"/>
      <c r="C241" s="1"/>
      <c r="D241" s="1"/>
      <c r="E241" s="1"/>
      <c r="F241" s="1"/>
      <c r="G241" s="1"/>
      <c r="H241" s="1"/>
      <c r="I241" s="1"/>
    </row>
    <row r="242" spans="1:9">
      <c r="A242" s="1"/>
      <c r="B242" s="1"/>
      <c r="C242" s="1"/>
      <c r="D242" s="1"/>
      <c r="E242" s="1"/>
      <c r="F242" s="1"/>
      <c r="G242" s="1"/>
      <c r="H242" s="1"/>
      <c r="I242" s="1"/>
    </row>
    <row r="243" spans="1:9">
      <c r="A243" s="1"/>
      <c r="B243" s="1"/>
      <c r="C243" s="1"/>
      <c r="D243" s="1"/>
      <c r="E243" s="1"/>
      <c r="F243" s="1"/>
      <c r="G243" s="1"/>
      <c r="H243" s="1"/>
      <c r="I243" s="1"/>
    </row>
    <row r="244" spans="1:9">
      <c r="A244" s="1"/>
      <c r="B244" s="1"/>
      <c r="C244" s="1"/>
      <c r="D244" s="1"/>
      <c r="E244" s="1"/>
      <c r="F244" s="1"/>
      <c r="G244" s="1"/>
      <c r="H244" s="1"/>
      <c r="I244" s="1"/>
    </row>
    <row r="245" spans="1:9">
      <c r="A245" s="1"/>
      <c r="B245" s="1"/>
      <c r="C245" s="1"/>
      <c r="D245" s="1"/>
      <c r="E245" s="1"/>
      <c r="F245" s="1"/>
      <c r="G245" s="1"/>
      <c r="H245" s="1"/>
      <c r="I245" s="1"/>
    </row>
    <row r="246" spans="1:9">
      <c r="A246" s="1"/>
      <c r="B246" s="1"/>
      <c r="C246" s="1"/>
      <c r="D246" s="1"/>
      <c r="E246" s="1"/>
      <c r="F246" s="1"/>
      <c r="G246" s="1"/>
      <c r="H246" s="1"/>
      <c r="I246" s="1"/>
    </row>
    <row r="247" spans="1:9">
      <c r="A247" s="1"/>
      <c r="B247" s="1"/>
      <c r="C247" s="1"/>
      <c r="D247" s="1"/>
      <c r="E247" s="1"/>
      <c r="F247" s="1"/>
      <c r="G247" s="1"/>
      <c r="H247" s="1"/>
      <c r="I247" s="1"/>
    </row>
    <row r="248" spans="1:9">
      <c r="A248" s="1"/>
      <c r="B248" s="1"/>
      <c r="C248" s="1"/>
      <c r="D248" s="1"/>
      <c r="E248" s="1"/>
      <c r="F248" s="1"/>
      <c r="G248" s="1"/>
      <c r="H248" s="1"/>
      <c r="I248" s="1"/>
    </row>
    <row r="249" spans="1:9">
      <c r="A249" s="1"/>
      <c r="B249" s="1"/>
      <c r="C249" s="1"/>
      <c r="D249" s="1"/>
      <c r="E249" s="1"/>
      <c r="F249" s="1"/>
      <c r="G249" s="1"/>
      <c r="H249" s="1"/>
      <c r="I249" s="1"/>
    </row>
    <row r="250" spans="1:9">
      <c r="A250" s="1"/>
      <c r="B250" s="1"/>
      <c r="C250" s="1"/>
      <c r="D250" s="1"/>
      <c r="E250" s="1"/>
      <c r="F250" s="1"/>
      <c r="G250" s="1"/>
      <c r="H250" s="1"/>
      <c r="I250" s="1"/>
    </row>
    <row r="251" spans="1:9">
      <c r="A251" s="1"/>
      <c r="B251" s="1"/>
      <c r="C251" s="1"/>
      <c r="D251" s="1"/>
      <c r="E251" s="1"/>
      <c r="F251" s="1"/>
      <c r="G251" s="1"/>
      <c r="H251" s="1"/>
      <c r="I251" s="1"/>
    </row>
    <row r="252" spans="1:9">
      <c r="A252" s="1"/>
      <c r="B252" s="1"/>
      <c r="C252" s="1"/>
      <c r="D252" s="1"/>
      <c r="E252" s="1"/>
      <c r="F252" s="1"/>
      <c r="G252" s="1"/>
      <c r="H252" s="1"/>
      <c r="I252" s="1"/>
    </row>
    <row r="253" spans="1:9">
      <c r="A253" s="1"/>
      <c r="B253" s="1"/>
      <c r="C253" s="1"/>
      <c r="D253" s="1"/>
      <c r="E253" s="1"/>
      <c r="F253" s="1"/>
      <c r="G253" s="1"/>
      <c r="H253" s="1"/>
      <c r="I253" s="1"/>
    </row>
    <row r="254" spans="1:9">
      <c r="A254" s="1"/>
      <c r="B254" s="1"/>
      <c r="C254" s="1"/>
      <c r="D254" s="1"/>
      <c r="E254" s="1"/>
      <c r="F254" s="1"/>
      <c r="G254" s="1"/>
      <c r="H254" s="1"/>
      <c r="I254" s="1"/>
    </row>
    <row r="255" spans="1:9">
      <c r="A255" s="1"/>
      <c r="B255" s="1"/>
      <c r="C255" s="1"/>
      <c r="D255" s="1"/>
      <c r="E255" s="1"/>
      <c r="F255" s="1"/>
      <c r="G255" s="1"/>
      <c r="H255" s="1"/>
      <c r="I255" s="1"/>
    </row>
    <row r="256" spans="1:9">
      <c r="A256" s="1"/>
      <c r="B256" s="1"/>
      <c r="C256" s="1"/>
      <c r="D256" s="1"/>
      <c r="E256" s="1"/>
      <c r="F256" s="1"/>
      <c r="G256" s="1"/>
      <c r="H256" s="1"/>
      <c r="I256" s="1"/>
    </row>
    <row r="257" spans="1:9">
      <c r="A257" s="1"/>
      <c r="B257" s="1"/>
      <c r="C257" s="1"/>
      <c r="D257" s="1"/>
      <c r="E257" s="1"/>
      <c r="F257" s="1"/>
      <c r="G257" s="1"/>
      <c r="H257" s="1"/>
      <c r="I257" s="1"/>
    </row>
    <row r="258" spans="1:9">
      <c r="A258" s="1"/>
      <c r="B258" s="1"/>
      <c r="C258" s="1"/>
      <c r="D258" s="1"/>
      <c r="E258" s="1"/>
      <c r="F258" s="1"/>
      <c r="G258" s="1"/>
      <c r="H258" s="1"/>
      <c r="I258" s="1"/>
    </row>
    <row r="259" spans="1:9">
      <c r="A259" s="1"/>
      <c r="B259" s="1"/>
      <c r="C259" s="1"/>
      <c r="D259" s="1"/>
      <c r="E259" s="1"/>
      <c r="F259" s="1"/>
      <c r="G259" s="1"/>
      <c r="H259" s="1"/>
      <c r="I259" s="1"/>
    </row>
    <row r="260" spans="1:9">
      <c r="A260" s="1"/>
      <c r="B260" s="1"/>
      <c r="C260" s="1"/>
      <c r="D260" s="1"/>
      <c r="E260" s="1"/>
      <c r="F260" s="1"/>
      <c r="G260" s="1"/>
      <c r="H260" s="1"/>
      <c r="I260" s="1"/>
    </row>
    <row r="261" spans="1:9">
      <c r="A261" s="1"/>
      <c r="B261" s="1"/>
      <c r="C261" s="1"/>
      <c r="D261" s="1"/>
      <c r="E261" s="1"/>
      <c r="F261" s="1"/>
      <c r="G261" s="1"/>
      <c r="H261" s="1"/>
      <c r="I261" s="1"/>
    </row>
    <row r="262" spans="1:9">
      <c r="A262" s="1"/>
      <c r="B262" s="1"/>
      <c r="C262" s="1"/>
      <c r="D262" s="1"/>
      <c r="E262" s="1"/>
      <c r="F262" s="1"/>
      <c r="G262" s="1"/>
      <c r="H262" s="1"/>
      <c r="I262" s="1"/>
    </row>
    <row r="263" spans="1:9">
      <c r="A263" s="1"/>
      <c r="B263" s="1"/>
      <c r="C263" s="1"/>
      <c r="D263" s="1"/>
      <c r="E263" s="1"/>
      <c r="F263" s="1"/>
      <c r="G263" s="1"/>
      <c r="H263" s="1"/>
      <c r="I263" s="1"/>
    </row>
    <row r="264" spans="1:9">
      <c r="A264" s="1"/>
      <c r="B264" s="1"/>
      <c r="C264" s="1"/>
      <c r="D264" s="1"/>
      <c r="E264" s="1"/>
      <c r="F264" s="1"/>
      <c r="G264" s="1"/>
      <c r="H264" s="1"/>
      <c r="I264" s="1"/>
    </row>
    <row r="265" spans="1:9">
      <c r="A265" s="1"/>
      <c r="B265" s="1"/>
      <c r="C265" s="1"/>
      <c r="D265" s="1"/>
      <c r="E265" s="1"/>
      <c r="F265" s="1"/>
      <c r="G265" s="1"/>
      <c r="H265" s="1"/>
      <c r="I265" s="1"/>
    </row>
    <row r="266" spans="1:9">
      <c r="A266" s="1"/>
      <c r="B266" s="1"/>
      <c r="C266" s="1"/>
      <c r="D266" s="1"/>
      <c r="E266" s="1"/>
      <c r="F266" s="1"/>
      <c r="G266" s="1"/>
      <c r="H266" s="1"/>
      <c r="I266" s="1"/>
    </row>
    <row r="267" spans="1:9">
      <c r="A267" s="1"/>
      <c r="B267" s="1"/>
      <c r="C267" s="1"/>
      <c r="D267" s="1"/>
      <c r="E267" s="1"/>
      <c r="F267" s="1"/>
      <c r="G267" s="1"/>
      <c r="H267" s="1"/>
      <c r="I267" s="1"/>
    </row>
    <row r="268" spans="1:9">
      <c r="A268" s="1"/>
      <c r="B268" s="1"/>
      <c r="C268" s="1"/>
      <c r="D268" s="1"/>
      <c r="E268" s="1"/>
      <c r="F268" s="1"/>
      <c r="G268" s="1"/>
      <c r="H268" s="1"/>
      <c r="I268" s="1"/>
    </row>
    <row r="269" spans="1:9">
      <c r="A269" s="1"/>
      <c r="B269" s="1"/>
      <c r="C269" s="1"/>
      <c r="D269" s="1"/>
      <c r="E269" s="1"/>
      <c r="F269" s="1"/>
      <c r="G269" s="1"/>
      <c r="H269" s="1"/>
      <c r="I269" s="1"/>
    </row>
    <row r="270" spans="1:9">
      <c r="A270" s="1"/>
      <c r="B270" s="1"/>
      <c r="C270" s="1"/>
      <c r="D270" s="1"/>
      <c r="E270" s="1"/>
      <c r="F270" s="1"/>
      <c r="G270" s="1"/>
      <c r="H270" s="1"/>
      <c r="I270" s="1"/>
    </row>
  </sheetData>
  <sheetProtection sheet="1" objects="1" scenarios="1" formatCells="0" formatColumns="0" formatRows="0" insertColumns="0" insertRows="0" sort="0" autoFilter="0" pivotTables="0"/>
  <mergeCells count="20">
    <mergeCell ref="B76:E77"/>
    <mergeCell ref="A80:D80"/>
    <mergeCell ref="A90:D90"/>
    <mergeCell ref="A92:D92"/>
    <mergeCell ref="A74:D74"/>
    <mergeCell ref="M3:N3"/>
    <mergeCell ref="M4:N4"/>
    <mergeCell ref="A64:J64"/>
    <mergeCell ref="L26:R26"/>
    <mergeCell ref="L2:Q2"/>
    <mergeCell ref="L7:R8"/>
    <mergeCell ref="O20:Q20"/>
    <mergeCell ref="O19:Q19"/>
    <mergeCell ref="L18:R18"/>
    <mergeCell ref="A122:D122"/>
    <mergeCell ref="A99:D99"/>
    <mergeCell ref="A105:D105"/>
    <mergeCell ref="A110:D110"/>
    <mergeCell ref="A114:D114"/>
    <mergeCell ref="A121:D121"/>
  </mergeCells>
  <conditionalFormatting sqref="F57:I63 F53:I55">
    <cfRule type="cellIs" dxfId="569" priority="336" operator="equal">
      <formula>"N"</formula>
    </cfRule>
    <cfRule type="cellIs" dxfId="568" priority="337" operator="equal">
      <formula>"Y"</formula>
    </cfRule>
  </conditionalFormatting>
  <conditionalFormatting sqref="F1:I1">
    <cfRule type="cellIs" dxfId="567" priority="334" operator="equal">
      <formula>"N"</formula>
    </cfRule>
    <cfRule type="cellIs" dxfId="566" priority="335" operator="equal">
      <formula>"Y"</formula>
    </cfRule>
  </conditionalFormatting>
  <conditionalFormatting sqref="F57:I62 F53:I55">
    <cfRule type="cellIs" dxfId="565" priority="332" operator="equal">
      <formula>"y"</formula>
    </cfRule>
    <cfRule type="cellIs" dxfId="564" priority="333" operator="equal">
      <formula>"n"</formula>
    </cfRule>
  </conditionalFormatting>
  <conditionalFormatting sqref="C53:C55 C57:C62">
    <cfRule type="cellIs" dxfId="563" priority="330" operator="equal">
      <formula>"IT"</formula>
    </cfRule>
    <cfRule type="cellIs" dxfId="562" priority="331" operator="equal">
      <formula>"CompSci"</formula>
    </cfRule>
  </conditionalFormatting>
  <conditionalFormatting sqref="C53:C55 C57:C62">
    <cfRule type="cellIs" dxfId="561" priority="309" operator="equal">
      <formula>"both"</formula>
    </cfRule>
    <cfRule type="cellIs" dxfId="560" priority="310" operator="equal">
      <formula>"CompSci"</formula>
    </cfRule>
    <cfRule type="cellIs" dxfId="559" priority="311" operator="equal">
      <formula>"IT"</formula>
    </cfRule>
  </conditionalFormatting>
  <conditionalFormatting sqref="A57:I62 A54:I55 A53 C53:I53">
    <cfRule type="expression" dxfId="558" priority="338">
      <formula>$G53="y"</formula>
    </cfRule>
    <cfRule type="expression" dxfId="557" priority="339">
      <formula>$E53="Spring 2016"</formula>
    </cfRule>
    <cfRule type="expression" dxfId="556" priority="340">
      <formula>$E53="Spring 2015"</formula>
    </cfRule>
    <cfRule type="expression" dxfId="555" priority="341">
      <formula>$E53="Fall 2016"</formula>
    </cfRule>
    <cfRule type="expression" dxfId="554" priority="342">
      <formula>$E53="Spring 2014"</formula>
    </cfRule>
    <cfRule type="expression" dxfId="553" priority="343">
      <formula>$E53="Fall 2015"</formula>
    </cfRule>
    <cfRule type="expression" dxfId="552" priority="344">
      <formula>$E53="Fall 2014"</formula>
    </cfRule>
    <cfRule type="expression" dxfId="551" priority="345">
      <formula>$E53="Fall 2013"</formula>
    </cfRule>
  </conditionalFormatting>
  <conditionalFormatting sqref="G56:H56">
    <cfRule type="cellIs" dxfId="550" priority="248" operator="equal">
      <formula>"N"</formula>
    </cfRule>
    <cfRule type="cellIs" dxfId="549" priority="249" operator="equal">
      <formula>"Y"</formula>
    </cfRule>
  </conditionalFormatting>
  <conditionalFormatting sqref="G56:H56">
    <cfRule type="cellIs" dxfId="548" priority="246" operator="equal">
      <formula>"y"</formula>
    </cfRule>
    <cfRule type="cellIs" dxfId="547" priority="247" operator="equal">
      <formula>"n"</formula>
    </cfRule>
  </conditionalFormatting>
  <conditionalFormatting sqref="I56 F56">
    <cfRule type="cellIs" dxfId="546" priority="244" operator="equal">
      <formula>"N"</formula>
    </cfRule>
    <cfRule type="cellIs" dxfId="545" priority="245" operator="equal">
      <formula>"Y"</formula>
    </cfRule>
  </conditionalFormatting>
  <conditionalFormatting sqref="C56">
    <cfRule type="cellIs" dxfId="544" priority="241" operator="equal">
      <formula>"both"</formula>
    </cfRule>
    <cfRule type="cellIs" dxfId="543" priority="242" operator="equal">
      <formula>"CompSci"</formula>
    </cfRule>
    <cfRule type="cellIs" dxfId="542" priority="243" operator="equal">
      <formula>"IT"</formula>
    </cfRule>
  </conditionalFormatting>
  <conditionalFormatting sqref="F56:I56 A56:D56">
    <cfRule type="expression" dxfId="541" priority="250">
      <formula>$G56="y"</formula>
    </cfRule>
    <cfRule type="expression" dxfId="540" priority="251">
      <formula>$E56="Spring 2016"</formula>
    </cfRule>
    <cfRule type="expression" dxfId="539" priority="252">
      <formula>$E56="Spring 2015"</formula>
    </cfRule>
    <cfRule type="expression" dxfId="538" priority="253">
      <formula>$E56="Fall 2016"</formula>
    </cfRule>
    <cfRule type="expression" dxfId="537" priority="254">
      <formula>$E56="Spring 2014"</formula>
    </cfRule>
    <cfRule type="expression" dxfId="536" priority="255">
      <formula>$E56="Fall 2015"</formula>
    </cfRule>
    <cfRule type="expression" dxfId="535" priority="256">
      <formula>$E56="Fall 2014"</formula>
    </cfRule>
    <cfRule type="expression" dxfId="534" priority="257">
      <formula>$E56="Fall 2013"</formula>
    </cfRule>
  </conditionalFormatting>
  <conditionalFormatting sqref="J8">
    <cfRule type="expression" dxfId="533" priority="233">
      <formula>#REF!="y"</formula>
    </cfRule>
    <cfRule type="expression" dxfId="532" priority="234">
      <formula>#REF!="Spring 2016"</formula>
    </cfRule>
    <cfRule type="expression" dxfId="531" priority="235">
      <formula>#REF!="Spring 2015"</formula>
    </cfRule>
    <cfRule type="expression" dxfId="530" priority="236">
      <formula>#REF!="Fall 2016"</formula>
    </cfRule>
    <cfRule type="expression" dxfId="529" priority="237">
      <formula>#REF!="Spring 2014"</formula>
    </cfRule>
    <cfRule type="expression" dxfId="528" priority="238">
      <formula>#REF!="Fall 2015"</formula>
    </cfRule>
    <cfRule type="expression" dxfId="527" priority="239">
      <formula>#REF!="Fall 2014"</formula>
    </cfRule>
    <cfRule type="expression" dxfId="526" priority="240">
      <formula>#REF!="Fall 2013"</formula>
    </cfRule>
  </conditionalFormatting>
  <conditionalFormatting sqref="J11">
    <cfRule type="expression" dxfId="525" priority="225">
      <formula>$G11="y"</formula>
    </cfRule>
    <cfRule type="expression" dxfId="524" priority="226">
      <formula>$E11="Spring 2016"</formula>
    </cfRule>
    <cfRule type="expression" dxfId="523" priority="227">
      <formula>$E11="Spring 2015"</formula>
    </cfRule>
    <cfRule type="expression" dxfId="522" priority="228">
      <formula>$E11="Fall 2016"</formula>
    </cfRule>
    <cfRule type="expression" dxfId="521" priority="229">
      <formula>$E11="Spring 2014"</formula>
    </cfRule>
    <cfRule type="expression" dxfId="520" priority="230">
      <formula>$E11="Fall 2015"</formula>
    </cfRule>
    <cfRule type="expression" dxfId="519" priority="231">
      <formula>$E11="Fall 2014"</formula>
    </cfRule>
    <cfRule type="expression" dxfId="518" priority="232">
      <formula>$E11="Fall 2013"</formula>
    </cfRule>
  </conditionalFormatting>
  <conditionalFormatting sqref="J24">
    <cfRule type="expression" dxfId="517" priority="215">
      <formula>#REF!="y"</formula>
    </cfRule>
    <cfRule type="expression" dxfId="516" priority="216">
      <formula>#REF!="Spring 2016"</formula>
    </cfRule>
    <cfRule type="expression" dxfId="515" priority="217">
      <formula>#REF!="Spring 2015"</formula>
    </cfRule>
    <cfRule type="expression" dxfId="514" priority="218">
      <formula>#REF!="Fall 2016"</formula>
    </cfRule>
    <cfRule type="expression" dxfId="513" priority="219">
      <formula>#REF!="Spring 2014"</formula>
    </cfRule>
    <cfRule type="expression" dxfId="512" priority="220">
      <formula>#REF!="Fall 2015"</formula>
    </cfRule>
    <cfRule type="expression" dxfId="511" priority="221">
      <formula>#REF!="Fall 2014"</formula>
    </cfRule>
    <cfRule type="expression" dxfId="510" priority="222">
      <formula>#REF!="Fall 2013"</formula>
    </cfRule>
  </conditionalFormatting>
  <conditionalFormatting sqref="J27">
    <cfRule type="expression" dxfId="509" priority="207">
      <formula>$G27="y"</formula>
    </cfRule>
    <cfRule type="expression" dxfId="508" priority="208">
      <formula>$E27="Spring 2016"</formula>
    </cfRule>
    <cfRule type="expression" dxfId="507" priority="209">
      <formula>$E27="Spring 2015"</formula>
    </cfRule>
    <cfRule type="expression" dxfId="506" priority="210">
      <formula>$E27="Fall 2016"</formula>
    </cfRule>
    <cfRule type="expression" dxfId="505" priority="211">
      <formula>$E27="Spring 2014"</formula>
    </cfRule>
    <cfRule type="expression" dxfId="504" priority="212">
      <formula>$E27="Fall 2015"</formula>
    </cfRule>
    <cfRule type="expression" dxfId="503" priority="213">
      <formula>$E27="Fall 2014"</formula>
    </cfRule>
    <cfRule type="expression" dxfId="502" priority="214">
      <formula>$E27="Fall 2013"</formula>
    </cfRule>
  </conditionalFormatting>
  <conditionalFormatting sqref="J40">
    <cfRule type="expression" dxfId="501" priority="199">
      <formula>#REF!="y"</formula>
    </cfRule>
    <cfRule type="expression" dxfId="500" priority="200">
      <formula>#REF!="Spring 2016"</formula>
    </cfRule>
    <cfRule type="expression" dxfId="499" priority="201">
      <formula>#REF!="Spring 2015"</formula>
    </cfRule>
    <cfRule type="expression" dxfId="498" priority="202">
      <formula>#REF!="Fall 2016"</formula>
    </cfRule>
    <cfRule type="expression" dxfId="497" priority="203">
      <formula>#REF!="Spring 2014"</formula>
    </cfRule>
    <cfRule type="expression" dxfId="496" priority="204">
      <formula>#REF!="Fall 2015"</formula>
    </cfRule>
    <cfRule type="expression" dxfId="495" priority="205">
      <formula>#REF!="Fall 2014"</formula>
    </cfRule>
    <cfRule type="expression" dxfId="494" priority="206">
      <formula>#REF!="Fall 2013"</formula>
    </cfRule>
  </conditionalFormatting>
  <conditionalFormatting sqref="J43">
    <cfRule type="expression" dxfId="493" priority="191">
      <formula>$G43="y"</formula>
    </cfRule>
    <cfRule type="expression" dxfId="492" priority="192">
      <formula>$E43="Spring 2016"</formula>
    </cfRule>
    <cfRule type="expression" dxfId="491" priority="193">
      <formula>$E43="Spring 2015"</formula>
    </cfRule>
    <cfRule type="expression" dxfId="490" priority="194">
      <formula>$E43="Fall 2016"</formula>
    </cfRule>
    <cfRule type="expression" dxfId="489" priority="195">
      <formula>$E43="Spring 2014"</formula>
    </cfRule>
    <cfRule type="expression" dxfId="488" priority="196">
      <formula>$E43="Fall 2015"</formula>
    </cfRule>
    <cfRule type="expression" dxfId="487" priority="197">
      <formula>$E43="Fall 2014"</formula>
    </cfRule>
    <cfRule type="expression" dxfId="486" priority="198">
      <formula>$E43="Fall 2013"</formula>
    </cfRule>
  </conditionalFormatting>
  <conditionalFormatting sqref="N28:R33">
    <cfRule type="cellIs" dxfId="485" priority="983" operator="greaterThan">
      <formula>$R$20</formula>
    </cfRule>
  </conditionalFormatting>
  <conditionalFormatting sqref="F41:F47 G2:H8 G11:H13 F8:F9 I8:I9 F10:I10 I41:I52 G15:H30 H44:H47 F50:F52 H50:H52 G36:H43 G31:G35">
    <cfRule type="cellIs" dxfId="484" priority="131" operator="equal">
      <formula>"N"</formula>
    </cfRule>
    <cfRule type="cellIs" dxfId="483" priority="132" operator="equal">
      <formula>"Y"</formula>
    </cfRule>
  </conditionalFormatting>
  <conditionalFormatting sqref="G2:H8 G10:H13 I48:I49 F41:I43 G15:H30 F44:F47 H44:I47 F50:F52 H50:I52 H36:H40 G31:G40">
    <cfRule type="cellIs" dxfId="482" priority="129" operator="equal">
      <formula>"y"</formula>
    </cfRule>
    <cfRule type="cellIs" dxfId="481" priority="130" operator="equal">
      <formula>"n"</formula>
    </cfRule>
  </conditionalFormatting>
  <conditionalFormatting sqref="C41:C47 C50:C52">
    <cfRule type="cellIs" dxfId="480" priority="127" operator="equal">
      <formula>"IT"</formula>
    </cfRule>
    <cfRule type="cellIs" dxfId="479" priority="128" operator="equal">
      <formula>"CompSci"</formula>
    </cfRule>
  </conditionalFormatting>
  <conditionalFormatting sqref="F5:F7 I5:I7">
    <cfRule type="cellIs" dxfId="478" priority="125" operator="equal">
      <formula>"N"</formula>
    </cfRule>
    <cfRule type="cellIs" dxfId="477" priority="126" operator="equal">
      <formula>"Y"</formula>
    </cfRule>
  </conditionalFormatting>
  <conditionalFormatting sqref="F2:F4 I2:I4">
    <cfRule type="cellIs" dxfId="476" priority="123" operator="equal">
      <formula>"N"</formula>
    </cfRule>
    <cfRule type="cellIs" dxfId="475" priority="124" operator="equal">
      <formula>"Y"</formula>
    </cfRule>
  </conditionalFormatting>
  <conditionalFormatting sqref="F11:F12 I11:I12">
    <cfRule type="cellIs" dxfId="474" priority="121" operator="equal">
      <formula>"N"</formula>
    </cfRule>
    <cfRule type="cellIs" dxfId="473" priority="122" operator="equal">
      <formula>"Y"</formula>
    </cfRule>
  </conditionalFormatting>
  <conditionalFormatting sqref="F13 I13 I15:I18 F15:F18">
    <cfRule type="cellIs" dxfId="472" priority="119" operator="equal">
      <formula>"N"</formula>
    </cfRule>
    <cfRule type="cellIs" dxfId="471" priority="120" operator="equal">
      <formula>"Y"</formula>
    </cfRule>
  </conditionalFormatting>
  <conditionalFormatting sqref="F22:F24 I22:I24">
    <cfRule type="cellIs" dxfId="470" priority="117" operator="equal">
      <formula>"N"</formula>
    </cfRule>
    <cfRule type="cellIs" dxfId="469" priority="118" operator="equal">
      <formula>"Y"</formula>
    </cfRule>
  </conditionalFormatting>
  <conditionalFormatting sqref="F19:F21 I19:I21">
    <cfRule type="cellIs" dxfId="468" priority="115" operator="equal">
      <formula>"N"</formula>
    </cfRule>
    <cfRule type="cellIs" dxfId="467" priority="116" operator="equal">
      <formula>"Y"</formula>
    </cfRule>
  </conditionalFormatting>
  <conditionalFormatting sqref="F25:F30 I25:I30">
    <cfRule type="cellIs" dxfId="466" priority="113" operator="equal">
      <formula>"N"</formula>
    </cfRule>
    <cfRule type="cellIs" dxfId="465" priority="114" operator="equal">
      <formula>"Y"</formula>
    </cfRule>
  </conditionalFormatting>
  <conditionalFormatting sqref="F31:F36 I31:I36">
    <cfRule type="cellIs" dxfId="464" priority="111" operator="equal">
      <formula>"N"</formula>
    </cfRule>
    <cfRule type="cellIs" dxfId="463" priority="112" operator="equal">
      <formula>"Y"</formula>
    </cfRule>
  </conditionalFormatting>
  <conditionalFormatting sqref="F37:F40 I37:I40">
    <cfRule type="cellIs" dxfId="462" priority="109" operator="equal">
      <formula>"N"</formula>
    </cfRule>
    <cfRule type="cellIs" dxfId="461" priority="110" operator="equal">
      <formula>"Y"</formula>
    </cfRule>
  </conditionalFormatting>
  <conditionalFormatting sqref="C2:C13 C15:C47 C50:C52">
    <cfRule type="cellIs" dxfId="460" priority="106" operator="equal">
      <formula>"both"</formula>
    </cfRule>
    <cfRule type="cellIs" dxfId="459" priority="107" operator="equal">
      <formula>"CompSci"</formula>
    </cfRule>
    <cfRule type="cellIs" dxfId="458" priority="108" operator="equal">
      <formula>"IT"</formula>
    </cfRule>
  </conditionalFormatting>
  <conditionalFormatting sqref="A2:D13 A46:F46 F2:I13 A31:C31 A47 C47:F47 I48:I49 A15:D30 A32:D45 F15:I30 F44:F45 H44:I47 A50:F52 H50:I52 F31:G35 I31:I35 F36:I43">
    <cfRule type="expression" dxfId="457" priority="133">
      <formula>$G2="y"</formula>
    </cfRule>
    <cfRule type="expression" dxfId="456" priority="134">
      <formula>$E2="Spring 2016"</formula>
    </cfRule>
    <cfRule type="expression" dxfId="455" priority="135">
      <formula>$E2="Spring 2015"</formula>
    </cfRule>
    <cfRule type="expression" dxfId="454" priority="136">
      <formula>$E2="Fall 2016"</formula>
    </cfRule>
    <cfRule type="expression" dxfId="453" priority="137">
      <formula>$E2="Spring 2014"</formula>
    </cfRule>
    <cfRule type="expression" dxfId="452" priority="138">
      <formula>$E2="Fall 2015"</formula>
    </cfRule>
    <cfRule type="expression" dxfId="451" priority="139">
      <formula>$E2="Fall 2014"</formula>
    </cfRule>
    <cfRule type="expression" dxfId="450" priority="140">
      <formula>$E2="Fall 2013"</formula>
    </cfRule>
  </conditionalFormatting>
  <conditionalFormatting sqref="G14:H14">
    <cfRule type="cellIs" dxfId="449" priority="96" operator="equal">
      <formula>"N"</formula>
    </cfRule>
    <cfRule type="cellIs" dxfId="448" priority="97" operator="equal">
      <formula>"Y"</formula>
    </cfRule>
  </conditionalFormatting>
  <conditionalFormatting sqref="G14:H14">
    <cfRule type="cellIs" dxfId="447" priority="94" operator="equal">
      <formula>"y"</formula>
    </cfRule>
    <cfRule type="cellIs" dxfId="446" priority="95" operator="equal">
      <formula>"n"</formula>
    </cfRule>
  </conditionalFormatting>
  <conditionalFormatting sqref="F14 I14">
    <cfRule type="cellIs" dxfId="445" priority="92" operator="equal">
      <formula>"N"</formula>
    </cfRule>
    <cfRule type="cellIs" dxfId="444" priority="93" operator="equal">
      <formula>"Y"</formula>
    </cfRule>
  </conditionalFormatting>
  <conditionalFormatting sqref="C14">
    <cfRule type="cellIs" dxfId="443" priority="89" operator="equal">
      <formula>"both"</formula>
    </cfRule>
    <cfRule type="cellIs" dxfId="442" priority="90" operator="equal">
      <formula>"CompSci"</formula>
    </cfRule>
    <cfRule type="cellIs" dxfId="441" priority="91" operator="equal">
      <formula>"IT"</formula>
    </cfRule>
  </conditionalFormatting>
  <conditionalFormatting sqref="A14:D14 F14:I14">
    <cfRule type="expression" dxfId="440" priority="98">
      <formula>$G14="y"</formula>
    </cfRule>
    <cfRule type="expression" dxfId="439" priority="99">
      <formula>$E14="Spring 2016"</formula>
    </cfRule>
    <cfRule type="expression" dxfId="438" priority="100">
      <formula>$E14="Spring 2015"</formula>
    </cfRule>
    <cfRule type="expression" dxfId="437" priority="101">
      <formula>$E14="Fall 2016"</formula>
    </cfRule>
    <cfRule type="expression" dxfId="436" priority="102">
      <formula>$E14="Spring 2014"</formula>
    </cfRule>
    <cfRule type="expression" dxfId="435" priority="103">
      <formula>$E14="Fall 2015"</formula>
    </cfRule>
    <cfRule type="expression" dxfId="434" priority="104">
      <formula>$E14="Fall 2014"</formula>
    </cfRule>
    <cfRule type="expression" dxfId="433" priority="105">
      <formula>$E14="Fall 2013"</formula>
    </cfRule>
  </conditionalFormatting>
  <conditionalFormatting sqref="F48 H48">
    <cfRule type="cellIs" dxfId="432" priority="79" operator="equal">
      <formula>"N"</formula>
    </cfRule>
    <cfRule type="cellIs" dxfId="431" priority="80" operator="equal">
      <formula>"Y"</formula>
    </cfRule>
  </conditionalFormatting>
  <conditionalFormatting sqref="F48 H48">
    <cfRule type="cellIs" dxfId="430" priority="77" operator="equal">
      <formula>"y"</formula>
    </cfRule>
    <cfRule type="cellIs" dxfId="429" priority="78" operator="equal">
      <formula>"n"</formula>
    </cfRule>
  </conditionalFormatting>
  <conditionalFormatting sqref="C48">
    <cfRule type="cellIs" dxfId="428" priority="75" operator="equal">
      <formula>"IT"</formula>
    </cfRule>
    <cfRule type="cellIs" dxfId="427" priority="76" operator="equal">
      <formula>"CompSci"</formula>
    </cfRule>
  </conditionalFormatting>
  <conditionalFormatting sqref="C48">
    <cfRule type="cellIs" dxfId="426" priority="72" operator="equal">
      <formula>"both"</formula>
    </cfRule>
    <cfRule type="cellIs" dxfId="425" priority="73" operator="equal">
      <formula>"CompSci"</formula>
    </cfRule>
    <cfRule type="cellIs" dxfId="424" priority="74" operator="equal">
      <formula>"IT"</formula>
    </cfRule>
  </conditionalFormatting>
  <conditionalFormatting sqref="A48 C48:F48 H48">
    <cfRule type="expression" dxfId="423" priority="81">
      <formula>$G48="y"</formula>
    </cfRule>
    <cfRule type="expression" dxfId="422" priority="82">
      <formula>$E48="Spring 2016"</formula>
    </cfRule>
    <cfRule type="expression" dxfId="421" priority="83">
      <formula>$E48="Spring 2015"</formula>
    </cfRule>
    <cfRule type="expression" dxfId="420" priority="84">
      <formula>$E48="Fall 2016"</formula>
    </cfRule>
    <cfRule type="expression" dxfId="419" priority="85">
      <formula>$E48="Spring 2014"</formula>
    </cfRule>
    <cfRule type="expression" dxfId="418" priority="86">
      <formula>$E48="Fall 2015"</formula>
    </cfRule>
    <cfRule type="expression" dxfId="417" priority="87">
      <formula>$E48="Fall 2014"</formula>
    </cfRule>
    <cfRule type="expression" dxfId="416" priority="88">
      <formula>$E48="Fall 2013"</formula>
    </cfRule>
  </conditionalFormatting>
  <conditionalFormatting sqref="F49 H49">
    <cfRule type="cellIs" dxfId="415" priority="62" operator="equal">
      <formula>"N"</formula>
    </cfRule>
    <cfRule type="cellIs" dxfId="414" priority="63" operator="equal">
      <formula>"Y"</formula>
    </cfRule>
  </conditionalFormatting>
  <conditionalFormatting sqref="F49 H49">
    <cfRule type="cellIs" dxfId="413" priority="60" operator="equal">
      <formula>"y"</formula>
    </cfRule>
    <cfRule type="cellIs" dxfId="412" priority="61" operator="equal">
      <formula>"n"</formula>
    </cfRule>
  </conditionalFormatting>
  <conditionalFormatting sqref="C49">
    <cfRule type="cellIs" dxfId="411" priority="58" operator="equal">
      <formula>"IT"</formula>
    </cfRule>
    <cfRule type="cellIs" dxfId="410" priority="59" operator="equal">
      <formula>"CompSci"</formula>
    </cfRule>
  </conditionalFormatting>
  <conditionalFormatting sqref="C49">
    <cfRule type="cellIs" dxfId="409" priority="55" operator="equal">
      <formula>"both"</formula>
    </cfRule>
    <cfRule type="cellIs" dxfId="408" priority="56" operator="equal">
      <formula>"CompSci"</formula>
    </cfRule>
    <cfRule type="cellIs" dxfId="407" priority="57" operator="equal">
      <formula>"IT"</formula>
    </cfRule>
  </conditionalFormatting>
  <conditionalFormatting sqref="A49 C49:F49 H49">
    <cfRule type="expression" dxfId="406" priority="64">
      <formula>$G49="y"</formula>
    </cfRule>
    <cfRule type="expression" dxfId="405" priority="65">
      <formula>$E49="Spring 2016"</formula>
    </cfRule>
    <cfRule type="expression" dxfId="404" priority="66">
      <formula>$E49="Spring 2015"</formula>
    </cfRule>
    <cfRule type="expression" dxfId="403" priority="67">
      <formula>$E49="Fall 2016"</formula>
    </cfRule>
    <cfRule type="expression" dxfId="402" priority="68">
      <formula>$E49="Spring 2014"</formula>
    </cfRule>
    <cfRule type="expression" dxfId="401" priority="69">
      <formula>$E49="Fall 2015"</formula>
    </cfRule>
    <cfRule type="expression" dxfId="400" priority="70">
      <formula>$E49="Fall 2014"</formula>
    </cfRule>
    <cfRule type="expression" dxfId="399" priority="71">
      <formula>$E49="Fall 2013"</formula>
    </cfRule>
  </conditionalFormatting>
  <conditionalFormatting sqref="I32">
    <cfRule type="cellIs" dxfId="398" priority="53" operator="equal">
      <formula>"N"</formula>
    </cfRule>
    <cfRule type="cellIs" dxfId="397" priority="54" operator="equal">
      <formula>"Y"</formula>
    </cfRule>
  </conditionalFormatting>
  <conditionalFormatting sqref="G44:G47">
    <cfRule type="cellIs" dxfId="396" priority="43" operator="equal">
      <formula>"N"</formula>
    </cfRule>
    <cfRule type="cellIs" dxfId="395" priority="44" operator="equal">
      <formula>"Y"</formula>
    </cfRule>
  </conditionalFormatting>
  <conditionalFormatting sqref="G44:G47">
    <cfRule type="cellIs" dxfId="394" priority="41" operator="equal">
      <formula>"y"</formula>
    </cfRule>
    <cfRule type="cellIs" dxfId="393" priority="42" operator="equal">
      <formula>"n"</formula>
    </cfRule>
  </conditionalFormatting>
  <conditionalFormatting sqref="G44:G47">
    <cfRule type="expression" dxfId="392" priority="45">
      <formula>$G44="y"</formula>
    </cfRule>
  </conditionalFormatting>
  <conditionalFormatting sqref="I38">
    <cfRule type="cellIs" dxfId="391" priority="3" operator="equal">
      <formula>"N"</formula>
    </cfRule>
    <cfRule type="cellIs" dxfId="390" priority="4" operator="equal">
      <formula>"Y"</formula>
    </cfRule>
  </conditionalFormatting>
  <conditionalFormatting sqref="I38">
    <cfRule type="cellIs" dxfId="389" priority="1" operator="equal">
      <formula>"y"</formula>
    </cfRule>
    <cfRule type="cellIs" dxfId="388" priority="2" operator="equal">
      <formula>"n"</formula>
    </cfRule>
  </conditionalFormatting>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114"/>
  <sheetViews>
    <sheetView topLeftCell="F25" zoomScale="70" zoomScaleNormal="70" workbookViewId="0">
      <selection activeCell="X52" sqref="X52"/>
    </sheetView>
  </sheetViews>
  <sheetFormatPr defaultRowHeight="15" outlineLevelRow="1" outlineLevelCol="2"/>
  <cols>
    <col min="1" max="1" width="14.85546875" style="3" customWidth="1"/>
    <col min="2" max="2" width="5.140625" style="3" bestFit="1" customWidth="1"/>
    <col min="3" max="3" width="15.7109375" style="3" customWidth="1" outlineLevel="1"/>
    <col min="4" max="4" width="36.7109375" style="3" customWidth="1" outlineLevel="1"/>
    <col min="5" max="5" width="16.140625" style="3" customWidth="1" outlineLevel="1"/>
    <col min="6" max="6" width="9.5703125" style="3" customWidth="1" outlineLevel="1"/>
    <col min="7" max="7" width="8" style="3" customWidth="1" outlineLevel="1"/>
    <col min="8" max="8" width="14.28515625" style="3" customWidth="1" outlineLevel="1"/>
    <col min="9" max="9" width="16.85546875" style="3" customWidth="1" outlineLevel="1"/>
    <col min="10" max="10" width="19.140625" style="3" bestFit="1" customWidth="1" outlineLevel="1"/>
    <col min="11" max="11" width="10.7109375" style="3" customWidth="1"/>
    <col min="12" max="12" width="5.140625" style="3" bestFit="1" customWidth="1"/>
    <col min="13" max="13" width="15.7109375" style="3" customWidth="1" outlineLevel="1"/>
    <col min="14" max="14" width="25.7109375" style="3" customWidth="1" outlineLevel="1"/>
    <col min="15" max="15" width="16.140625" style="3" customWidth="1" outlineLevel="1"/>
    <col min="16" max="16" width="9.5703125" style="3" customWidth="1" outlineLevel="1"/>
    <col min="17" max="17" width="5.42578125" style="3" customWidth="1" outlineLevel="1"/>
    <col min="18" max="18" width="14.28515625" style="3" customWidth="1" outlineLevel="1"/>
    <col min="19" max="19" width="18.5703125" style="3" customWidth="1" outlineLevel="1"/>
    <col min="20" max="20" width="19.140625" style="3" customWidth="1" outlineLevel="1"/>
    <col min="21" max="21" width="10.7109375" style="3" customWidth="1"/>
    <col min="22" max="22" width="5.140625" style="3" bestFit="1" customWidth="1"/>
    <col min="23" max="23" width="15.7109375" style="3" customWidth="1" outlineLevel="1"/>
    <col min="24" max="24" width="37.85546875" style="3" customWidth="1" outlineLevel="1"/>
    <col min="25" max="25" width="16.140625" style="3" bestFit="1" customWidth="1" outlineLevel="1"/>
    <col min="26" max="26" width="10.140625" style="3" customWidth="1" outlineLevel="1"/>
    <col min="27" max="27" width="5.7109375" style="3" customWidth="1" outlineLevel="1"/>
    <col min="28" max="28" width="10.7109375" style="3" bestFit="1" customWidth="1" outlineLevel="1"/>
    <col min="29" max="29" width="16.85546875" style="3" bestFit="1" customWidth="1" outlineLevel="1"/>
    <col min="30" max="30" width="19.140625" style="3" customWidth="1" outlineLevel="1"/>
    <col min="31" max="31" width="10.7109375" style="3" customWidth="1"/>
    <col min="32" max="32" width="5.140625" style="3" bestFit="1" customWidth="1"/>
    <col min="33" max="33" width="15.7109375" style="3" customWidth="1" outlineLevel="2"/>
    <col min="34" max="34" width="25.7109375" style="3" customWidth="1" outlineLevel="2"/>
    <col min="35" max="35" width="16.140625" style="3" customWidth="1" outlineLevel="2"/>
    <col min="36" max="36" width="9.5703125" style="3" customWidth="1" outlineLevel="2"/>
    <col min="37" max="37" width="5.7109375" style="3" customWidth="1" outlineLevel="2"/>
    <col min="38" max="38" width="10.7109375" style="3" customWidth="1" outlineLevel="2"/>
    <col min="39" max="39" width="16.85546875" style="3" customWidth="1" outlineLevel="2"/>
    <col min="40" max="40" width="14.28515625" style="3" customWidth="1" outlineLevel="2"/>
    <col min="41" max="16384" width="9.140625" style="3"/>
  </cols>
  <sheetData>
    <row r="1" spans="1:40" ht="21.75" thickBot="1">
      <c r="A1" s="87" t="s">
        <v>88</v>
      </c>
      <c r="B1" s="37"/>
      <c r="L1" s="198"/>
      <c r="M1" s="198"/>
      <c r="P1" s="90"/>
      <c r="Q1" s="91"/>
      <c r="R1" s="91"/>
      <c r="S1" s="91"/>
      <c r="T1" s="91"/>
      <c r="V1" s="198"/>
      <c r="W1" s="198"/>
      <c r="AF1" s="198"/>
      <c r="AG1" s="198"/>
    </row>
    <row r="2" spans="1:40" s="23" customFormat="1" ht="23.25" customHeight="1" outlineLevel="1" thickBot="1">
      <c r="B2" s="184" t="s">
        <v>597</v>
      </c>
      <c r="C2" s="190" t="s">
        <v>1</v>
      </c>
      <c r="D2" s="191"/>
      <c r="E2" s="192"/>
      <c r="F2" s="193" t="str">
        <f>GradeStatus(StartingCredits)&amp;"--"&amp;StartingCredits&amp;" Credits "&amp;F12&amp;" In Progress"</f>
        <v>Freshmen--11 Credits 27 In Progress</v>
      </c>
      <c r="G2" s="194"/>
      <c r="H2" s="194"/>
      <c r="I2" s="194"/>
      <c r="J2" s="194"/>
      <c r="L2" s="184" t="s">
        <v>94</v>
      </c>
      <c r="M2" s="195" t="s">
        <v>15</v>
      </c>
      <c r="N2" s="196"/>
      <c r="O2" s="197"/>
      <c r="P2" s="182" t="str">
        <f>GradeStatus(F12)&amp;"--"&amp;F12&amp;" Credits "&amp;P12&amp;" In Progress"</f>
        <v>Sophomore--27 Credits 30 In Progress</v>
      </c>
      <c r="Q2" s="183"/>
      <c r="R2" s="183"/>
      <c r="S2" s="183"/>
      <c r="T2" s="183"/>
      <c r="V2" s="184" t="s">
        <v>95</v>
      </c>
      <c r="W2" s="185" t="s">
        <v>2</v>
      </c>
      <c r="X2" s="186"/>
      <c r="Y2" s="187"/>
      <c r="Z2" s="188" t="str">
        <f>GradeStatus(P12)&amp;"--"&amp;P12&amp;" Credits "&amp;Z12&amp;" In Progress"</f>
        <v>Sophomore--30 Credits 44 In Progress</v>
      </c>
      <c r="AA2" s="189"/>
      <c r="AB2" s="189"/>
      <c r="AC2" s="189"/>
      <c r="AD2" s="189"/>
      <c r="AF2" s="184" t="s">
        <v>96</v>
      </c>
      <c r="AG2" s="177" t="s">
        <v>227</v>
      </c>
      <c r="AH2" s="178"/>
      <c r="AI2" s="179"/>
      <c r="AJ2" s="180" t="str">
        <f>GradeStatus(Z12)&amp;"--"&amp;Z12&amp;" Credits "&amp;AJ12&amp;" In Progress"</f>
        <v>Sophomore--44 Credits 44 In Progress</v>
      </c>
      <c r="AK2" s="181"/>
      <c r="AL2" s="181"/>
      <c r="AM2" s="181"/>
      <c r="AN2" s="181"/>
    </row>
    <row r="3" spans="1:40" ht="15.75" outlineLevel="1" thickBot="1">
      <c r="B3" s="184"/>
      <c r="C3" s="3" t="s">
        <v>20</v>
      </c>
      <c r="D3" s="3" t="s">
        <v>24</v>
      </c>
      <c r="E3" s="3" t="s">
        <v>25</v>
      </c>
      <c r="F3" s="3" t="s">
        <v>10</v>
      </c>
      <c r="G3" s="3" t="s">
        <v>26</v>
      </c>
      <c r="H3" s="3" t="s">
        <v>12</v>
      </c>
      <c r="I3" s="3" t="s">
        <v>36</v>
      </c>
      <c r="J3" s="3" t="s">
        <v>28</v>
      </c>
      <c r="L3" s="184"/>
      <c r="M3" s="3" t="s">
        <v>20</v>
      </c>
      <c r="N3" s="3" t="s">
        <v>24</v>
      </c>
      <c r="O3" s="3" t="s">
        <v>25</v>
      </c>
      <c r="P3" s="3" t="s">
        <v>10</v>
      </c>
      <c r="Q3" s="3" t="s">
        <v>26</v>
      </c>
      <c r="R3" s="3" t="s">
        <v>12</v>
      </c>
      <c r="S3" s="3" t="s">
        <v>36</v>
      </c>
      <c r="T3" s="3" t="s">
        <v>28</v>
      </c>
      <c r="V3" s="184"/>
      <c r="W3" s="3" t="s">
        <v>20</v>
      </c>
      <c r="X3" s="3" t="s">
        <v>24</v>
      </c>
      <c r="Y3" s="3" t="s">
        <v>25</v>
      </c>
      <c r="Z3" s="3" t="s">
        <v>10</v>
      </c>
      <c r="AA3" s="3" t="s">
        <v>26</v>
      </c>
      <c r="AB3" s="3" t="s">
        <v>12</v>
      </c>
      <c r="AC3" s="3" t="s">
        <v>36</v>
      </c>
      <c r="AD3" s="3" t="s">
        <v>28</v>
      </c>
      <c r="AF3" s="184"/>
      <c r="AG3" s="3" t="s">
        <v>20</v>
      </c>
      <c r="AH3" s="3" t="s">
        <v>24</v>
      </c>
      <c r="AI3" s="3" t="s">
        <v>25</v>
      </c>
      <c r="AJ3" s="3" t="s">
        <v>10</v>
      </c>
      <c r="AK3" s="3" t="s">
        <v>26</v>
      </c>
      <c r="AL3" s="3" t="s">
        <v>12</v>
      </c>
      <c r="AM3" s="3" t="s">
        <v>36</v>
      </c>
      <c r="AN3" s="3" t="s">
        <v>28</v>
      </c>
    </row>
    <row r="4" spans="1:40" ht="15.75" outlineLevel="1" thickBot="1">
      <c r="B4" s="184"/>
      <c r="C4" s="16" t="s">
        <v>128</v>
      </c>
      <c r="D4" s="3" t="str">
        <f>IF(CSMINORFALL201336[[#This Row],[Course]]= "","",IFERROR(VLOOKUP(CSMINORFALL201336[[#This Row],[Course]],COURSELIST[],2,FALSE),"Course Not Found!"))</f>
        <v>Individual and Society</v>
      </c>
      <c r="E4" s="3" t="str">
        <f>IF(CSMINORFALL201336[[#This Row],[Course]]= "","",IFERROR(VLOOKUP(CSMINORFALL201336[[#This Row],[Course]],COURSELIST[],3,FALSE),""))</f>
        <v>Both</v>
      </c>
      <c r="F4" s="3">
        <f>IF(CSMINORFALL201336[[#This Row],[Course]]= "","",IFERROR(VLOOKUP(CSMINORFALL201336[[#This Row],[Course]],COURSELIST[],4,FALSE),""))</f>
        <v>3</v>
      </c>
      <c r="H4" s="3" t="str">
        <f>IF(CSMINORFALL201336[[#This Row],[Course]]= "","",IFERROR(VLOOKUP(CSMINORFALL201336[[#This Row],[Course]],COURSELIST[],6,FALSE),""))</f>
        <v>y</v>
      </c>
      <c r="I4" s="3" t="str">
        <f>IF(CSMINORFALL201336[[#This Row],[Course]]= "","",IFERROR(VLOOKUP(CSMINORFALL201336[[#This Row],[Course]],COURSELIST[],7,FALSE),""))</f>
        <v>y</v>
      </c>
      <c r="J4" s="3">
        <f>IF(CSMINORFALL201336[[#This Row],[Course]]= "","",IFERROR(VLOOKUP(CSMINORFALL201336[[#This Row],[Course]],COURSELIST[],8,FALSE),""))</f>
        <v>9</v>
      </c>
      <c r="L4" s="184"/>
      <c r="M4" s="27" t="s">
        <v>224</v>
      </c>
      <c r="N4" s="3" t="str">
        <f>IF(CSMINORWINTERIM201441[[#This Row],[Course]]= "","",IFERROR(VLOOKUP(CSMINORWINTERIM201441[[#This Row],[Course]],COURSELIST[],2,FALSE), "Class Not Found!"))</f>
        <v>WOTA</v>
      </c>
      <c r="O4" s="3" t="str">
        <f>IF(CSMINORWINTERIM201441[[#This Row],[Course]]= "","",IFERROR(VLOOKUP(CSMINORWINTERIM201441[[#This Row],[Course]],COURSELIST[],3,FALSE),""))</f>
        <v>Both</v>
      </c>
      <c r="P4" s="3">
        <f>IF(CSMINORWINTERIM201441[[#This Row],[Course]]= "","",IFERROR(VLOOKUP(CSMINORWINTERIM201441[[#This Row],[Course]],COURSELIST[],4,FALSE),""))</f>
        <v>3</v>
      </c>
      <c r="R4" s="3" t="str">
        <f>IF(CSMINORWINTERIM201441[[#This Row],[Course]]= "","",IFERROR(VLOOKUP(CSMINORWINTERIM201441[[#This Row],[Course]],COURSELIST[],6,FALSE),""))</f>
        <v>y</v>
      </c>
      <c r="S4" s="3" t="str">
        <f>IF(CSMINORWINTERIM201441[[#This Row],[Course]]= "","",IFERROR(VLOOKUP(CSMINORWINTERIM201441[[#This Row],[Course]],COURSELIST[],7,FALSE),""))</f>
        <v>y</v>
      </c>
      <c r="T4" s="3">
        <f>IF(CSMINORWINTERIM201441[[#This Row],[Course]]= "","",IFERROR(VLOOKUP(CSMINORWINTERIM201441[[#This Row],[Course]],COURSELIST[],8,FALSE),""))</f>
        <v>12</v>
      </c>
      <c r="V4" s="184"/>
      <c r="W4" s="25" t="s">
        <v>178</v>
      </c>
      <c r="X4" s="3" t="str">
        <f>IF(Table102940[[#This Row],[Course]]= "","",IFERROR(VLOOKUP(Table102940[[#This Row],[Course]],COURSELIST[],2,FALSE), "Class Not Found!"))</f>
        <v>English 2</v>
      </c>
      <c r="Y4" s="3" t="str">
        <f>IF(Table102940[[#This Row],[Course]]= "","",IFERROR(VLOOKUP(Table102940[[#This Row],[Course]],COURSELIST[],3,FALSE),""))</f>
        <v>Both</v>
      </c>
      <c r="Z4" s="3">
        <f>IF(Table102940[[#This Row],[Course]]= "","",IFERROR(VLOOKUP(Table102940[[#This Row],[Course]],COURSELIST[],4,FALSE),""))</f>
        <v>3</v>
      </c>
      <c r="AB4" s="3" t="str">
        <f>IF(Table102940[[#This Row],[Course]]= "","",IFERROR(VLOOKUP(Table102940[[#This Row],[Course]],COURSELIST[],6,FALSE),""))</f>
        <v>y</v>
      </c>
      <c r="AC4" s="3" t="str">
        <f>IF(Table102940[[#This Row],[Course]]= "","",IFERROR(VLOOKUP(Table102940[[#This Row],[Course]],COURSELIST[],7,FALSE),""))</f>
        <v>y</v>
      </c>
      <c r="AD4" s="3">
        <f>IF(Table102940[[#This Row],[Course]]= "","",IFERROR(VLOOKUP(Table102940[[#This Row],[Course]],COURSELIST[],8,FALSE),""))</f>
        <v>11</v>
      </c>
      <c r="AF4" s="184"/>
      <c r="AG4" s="16"/>
      <c r="AH4" s="3" t="str">
        <f>IF(Table92839495253542[[#This Row],[Course]]= "","",IFERROR(VLOOKUP(Table92839495253542[[#This Row],[Course]],COURSELIST[],2,FALSE),"Course Not Found!"))</f>
        <v/>
      </c>
      <c r="AI4" s="3" t="str">
        <f>IF(Table92839495253542[[#This Row],[Course]]= "","",IFERROR(VLOOKUP(Table92839495253542[[#This Row],[Course]],COURSELIST[],3,FALSE),""))</f>
        <v/>
      </c>
      <c r="AJ4" s="3" t="str">
        <f>IF(Table92839495253542[[#This Row],[Course]]= "","",IFERROR(VLOOKUP(Table92839495253542[[#This Row],[Course]],COURSELIST[],4,FALSE),""))</f>
        <v/>
      </c>
      <c r="AL4" s="3" t="str">
        <f>IF(Table92839495253542[[#This Row],[Course]]= "","",IFERROR(VLOOKUP(Table92839495253542[[#This Row],[Course]],COURSELIST[],6,FALSE),""))</f>
        <v/>
      </c>
      <c r="AM4" s="3" t="str">
        <f>IF(Table92839495253542[[#This Row],[Course]]= "","",IFERROR(VLOOKUP(Table92839495253542[[#This Row],[Course]],COURSELIST[],7,FALSE),""))</f>
        <v/>
      </c>
      <c r="AN4" s="3" t="str">
        <f>IF(Table92839495253542[[#This Row],[Course]]= "","",IFERROR(VLOOKUP(Table92839495253542[[#This Row],[Course]],COURSELIST[],8,FALSE),""))</f>
        <v/>
      </c>
    </row>
    <row r="5" spans="1:40" ht="15.75" outlineLevel="1" thickBot="1">
      <c r="B5" s="184"/>
      <c r="C5" s="16" t="s">
        <v>130</v>
      </c>
      <c r="D5" s="3" t="str">
        <f>IF(CSMINORFALL201336[[#This Row],[Course]]= "","",IFERROR(VLOOKUP(CSMINORFALL201336[[#This Row],[Course]],COURSELIST[],2,FALSE),"Course Not Found!"))</f>
        <v>Global Perspectives</v>
      </c>
      <c r="E5" s="3" t="str">
        <f>IF(CSMINORFALL201336[[#This Row],[Course]]= "","",IFERROR(VLOOKUP(CSMINORFALL201336[[#This Row],[Course]],COURSELIST[],3,FALSE),""))</f>
        <v>Both</v>
      </c>
      <c r="F5" s="3">
        <f>IF(CSMINORFALL201336[[#This Row],[Course]]= "","",IFERROR(VLOOKUP(CSMINORFALL201336[[#This Row],[Course]],COURSELIST[],4,FALSE),""))</f>
        <v>3</v>
      </c>
      <c r="H5" s="3" t="str">
        <f>IF(CSMINORFALL201336[[#This Row],[Course]]= "","",IFERROR(VLOOKUP(CSMINORFALL201336[[#This Row],[Course]],COURSELIST[],6,FALSE),""))</f>
        <v>y</v>
      </c>
      <c r="I5" s="3" t="str">
        <f>IF(CSMINORFALL201336[[#This Row],[Course]]= "","",IFERROR(VLOOKUP(CSMINORFALL201336[[#This Row],[Course]],COURSELIST[],7,FALSE),""))</f>
        <v>y</v>
      </c>
      <c r="J5" s="3">
        <f>IF(CSMINORFALL201336[[#This Row],[Course]]= "","",IFERROR(VLOOKUP(CSMINORFALL201336[[#This Row],[Course]],COURSELIST[],8,FALSE),""))</f>
        <v>9</v>
      </c>
      <c r="L5" s="184"/>
      <c r="M5" s="16"/>
      <c r="N5" s="3" t="str">
        <f>IF(CSMINORWINTERIM201441[[#This Row],[Course]]= "","",IFERROR(VLOOKUP(CSMINORWINTERIM201441[[#This Row],[Course]],COURSELIST[],2,FALSE), "Class Not Found!"))</f>
        <v/>
      </c>
      <c r="O5" s="3" t="str">
        <f>IF(CSMINORWINTERIM201441[[#This Row],[Course]]= "","",IFERROR(VLOOKUP(CSMINORWINTERIM201441[[#This Row],[Course]],COURSELIST[],3,FALSE),""))</f>
        <v/>
      </c>
      <c r="P5" s="3" t="str">
        <f>IF(CSMINORWINTERIM201441[[#This Row],[Course]]= "","",IFERROR(VLOOKUP(CSMINORWINTERIM201441[[#This Row],[Course]],COURSELIST[],4,FALSE),""))</f>
        <v/>
      </c>
      <c r="R5" s="3" t="str">
        <f>IF(CSMINORWINTERIM201441[[#This Row],[Course]]= "","",IFERROR(VLOOKUP(CSMINORWINTERIM201441[[#This Row],[Course]],COURSELIST[],6,FALSE),""))</f>
        <v/>
      </c>
      <c r="S5" s="3" t="str">
        <f>IF(CSMINORWINTERIM201441[[#This Row],[Course]]= "","",IFERROR(VLOOKUP(CSMINORWINTERIM201441[[#This Row],[Course]],COURSELIST[],7,FALSE),""))</f>
        <v/>
      </c>
      <c r="T5" s="3" t="str">
        <f>IF(CSMINORWINTERIM201441[[#This Row],[Course]]= "","",IFERROR(VLOOKUP(CSMINORWINTERIM201441[[#This Row],[Course]],COURSELIST[],8,FALSE),""))</f>
        <v/>
      </c>
      <c r="V5" s="184"/>
      <c r="W5" s="16" t="s">
        <v>176</v>
      </c>
      <c r="X5" s="3" t="str">
        <f>IF(Table102940[[#This Row],[Course]]= "","",IFERROR(VLOOKUP(Table102940[[#This Row],[Course]],COURSELIST[],2,FALSE), "Class Not Found!"))</f>
        <v>Economics</v>
      </c>
      <c r="Y5" s="3" t="str">
        <f>IF(Table102940[[#This Row],[Course]]= "","",IFERROR(VLOOKUP(Table102940[[#This Row],[Course]],COURSELIST[],3,FALSE),""))</f>
        <v>IT</v>
      </c>
      <c r="Z5" s="3">
        <f>IF(Table102940[[#This Row],[Course]]= "","",IFERROR(VLOOKUP(Table102940[[#This Row],[Course]],COURSELIST[],4,FALSE),""))</f>
        <v>3</v>
      </c>
      <c r="AB5" s="3" t="str">
        <f>IF(Table102940[[#This Row],[Course]]= "","",IFERROR(VLOOKUP(Table102940[[#This Row],[Course]],COURSELIST[],6,FALSE),""))</f>
        <v>y</v>
      </c>
      <c r="AC5" s="3" t="str">
        <f>IF(Table102940[[#This Row],[Course]]= "","",IFERROR(VLOOKUP(Table102940[[#This Row],[Course]],COURSELIST[],7,FALSE),""))</f>
        <v>y</v>
      </c>
      <c r="AD5" s="3">
        <f>IF(Table102940[[#This Row],[Course]]= "","",IFERROR(VLOOKUP(Table102940[[#This Row],[Course]],COURSELIST[],8,FALSE),""))</f>
        <v>12</v>
      </c>
      <c r="AF5" s="184"/>
      <c r="AG5" s="25"/>
      <c r="AH5" s="3" t="str">
        <f>IF(Table92839495253542[[#This Row],[Course]]= "","",IFERROR(VLOOKUP(Table92839495253542[[#This Row],[Course]],COURSELIST[],2,FALSE),"Course Not Found!"))</f>
        <v/>
      </c>
      <c r="AI5" s="3" t="str">
        <f>IF(Table92839495253542[[#This Row],[Course]]= "","",IFERROR(VLOOKUP(Table92839495253542[[#This Row],[Course]],COURSELIST[],3,FALSE),""))</f>
        <v/>
      </c>
      <c r="AJ5" s="3" t="str">
        <f>IF(Table92839495253542[[#This Row],[Course]]= "","",IFERROR(VLOOKUP(Table92839495253542[[#This Row],[Course]],COURSELIST[],4,FALSE),""))</f>
        <v/>
      </c>
      <c r="AL5" s="3" t="str">
        <f>IF(Table92839495253542[[#This Row],[Course]]= "","",IFERROR(VLOOKUP(Table92839495253542[[#This Row],[Course]],COURSELIST[],6,FALSE),""))</f>
        <v/>
      </c>
      <c r="AM5" s="3" t="str">
        <f>IF(Table92839495253542[[#This Row],[Course]]= "","",IFERROR(VLOOKUP(Table92839495253542[[#This Row],[Course]],COURSELIST[],7,FALSE),""))</f>
        <v/>
      </c>
      <c r="AN5" s="3" t="str">
        <f>IF(Table92839495253542[[#This Row],[Course]]= "","",IFERROR(VLOOKUP(Table92839495253542[[#This Row],[Course]],COURSELIST[],8,FALSE),""))</f>
        <v/>
      </c>
    </row>
    <row r="6" spans="1:40" ht="15.75" outlineLevel="1" thickBot="1">
      <c r="B6" s="184"/>
      <c r="C6" s="16" t="s">
        <v>134</v>
      </c>
      <c r="D6" s="3" t="str">
        <f>IF(CSMINORFALL201336[[#This Row],[Course]]= "","",IFERROR(VLOOKUP(CSMINORFALL201336[[#This Row],[Course]],COURSELIST[],2,FALSE),"Course Not Found!"))</f>
        <v>Intro To Business</v>
      </c>
      <c r="E6" s="3" t="str">
        <f>IF(CSMINORFALL201336[[#This Row],[Course]]= "","",IFERROR(VLOOKUP(CSMINORFALL201336[[#This Row],[Course]],COURSELIST[],3,FALSE),""))</f>
        <v>IT</v>
      </c>
      <c r="F6" s="3">
        <f>IF(CSMINORFALL201336[[#This Row],[Course]]= "","",IFERROR(VLOOKUP(CSMINORFALL201336[[#This Row],[Course]],COURSELIST[],4,FALSE),""))</f>
        <v>3</v>
      </c>
      <c r="H6" s="3" t="str">
        <f>IF(CSMINORFALL201336[[#This Row],[Course]]= "","",IFERROR(VLOOKUP(CSMINORFALL201336[[#This Row],[Course]],COURSELIST[],6,FALSE),""))</f>
        <v>y</v>
      </c>
      <c r="I6" s="3" t="str">
        <f>IF(CSMINORFALL201336[[#This Row],[Course]]= "","",IFERROR(VLOOKUP(CSMINORFALL201336[[#This Row],[Course]],COURSELIST[],7,FALSE),""))</f>
        <v>y</v>
      </c>
      <c r="J6" s="3">
        <f>IF(CSMINORFALL201336[[#This Row],[Course]]= "","",IFERROR(VLOOKUP(CSMINORFALL201336[[#This Row],[Course]],COURSELIST[],8,FALSE),""))</f>
        <v>12</v>
      </c>
      <c r="L6" s="184"/>
      <c r="M6" s="16"/>
      <c r="N6" s="3" t="str">
        <f>IF(CSMINORWINTERIM201441[[#This Row],[Course]]= "","",IFERROR(VLOOKUP(CSMINORWINTERIM201441[[#This Row],[Course]],COURSELIST[],2,FALSE), "Class Not Found!"))</f>
        <v/>
      </c>
      <c r="O6" s="3" t="str">
        <f>IF(CSMINORWINTERIM201441[[#This Row],[Course]]= "","",IFERROR(VLOOKUP(CSMINORWINTERIM201441[[#This Row],[Course]],COURSELIST[],3,FALSE),""))</f>
        <v/>
      </c>
      <c r="P6" s="3" t="str">
        <f>IF(CSMINORWINTERIM201441[[#This Row],[Course]]= "","",IFERROR(VLOOKUP(CSMINORWINTERIM201441[[#This Row],[Course]],COURSELIST[],4,FALSE),""))</f>
        <v/>
      </c>
      <c r="R6" s="3" t="str">
        <f>IF(CSMINORWINTERIM201441[[#This Row],[Course]]= "","",IFERROR(VLOOKUP(CSMINORWINTERIM201441[[#This Row],[Course]],COURSELIST[],6,FALSE),""))</f>
        <v/>
      </c>
      <c r="S6" s="3" t="str">
        <f>IF(CSMINORWINTERIM201441[[#This Row],[Course]]= "","",IFERROR(VLOOKUP(CSMINORWINTERIM201441[[#This Row],[Course]],COURSELIST[],7,FALSE),""))</f>
        <v/>
      </c>
      <c r="T6" s="3" t="str">
        <f>IF(CSMINORWINTERIM201441[[#This Row],[Course]]= "","",IFERROR(VLOOKUP(CSMINORWINTERIM201441[[#This Row],[Course]],COURSELIST[],8,FALSE),""))</f>
        <v/>
      </c>
      <c r="V6" s="184"/>
      <c r="W6" s="25" t="s">
        <v>174</v>
      </c>
      <c r="X6" s="3" t="str">
        <f>IF(Table102940[[#This Row],[Course]]= "","",IFERROR(VLOOKUP(Table102940[[#This Row],[Course]],COURSELIST[],2,FALSE), "Class Not Found!"))</f>
        <v xml:space="preserve">Bio 120--Intro To Bio  </v>
      </c>
      <c r="Y6" s="3" t="str">
        <f>IF(Table102940[[#This Row],[Course]]= "","",IFERROR(VLOOKUP(Table102940[[#This Row],[Course]],COURSELIST[],3,FALSE),""))</f>
        <v>Both</v>
      </c>
      <c r="Z6" s="3">
        <f>IF(Table102940[[#This Row],[Course]]= "","",IFERROR(VLOOKUP(Table102940[[#This Row],[Course]],COURSELIST[],4,FALSE),""))</f>
        <v>4</v>
      </c>
      <c r="AB6" s="3" t="str">
        <f>IF(Table102940[[#This Row],[Course]]= "","",IFERROR(VLOOKUP(Table102940[[#This Row],[Course]],COURSELIST[],6,FALSE),""))</f>
        <v>y</v>
      </c>
      <c r="AC6" s="3" t="str">
        <f>IF(Table102940[[#This Row],[Course]]= "","",IFERROR(VLOOKUP(Table102940[[#This Row],[Course]],COURSELIST[],7,FALSE),""))</f>
        <v>y</v>
      </c>
      <c r="AD6" s="3">
        <f>IF(Table102940[[#This Row],[Course]]= "","",IFERROR(VLOOKUP(Table102940[[#This Row],[Course]],COURSELIST[],8,FALSE),""))</f>
        <v>12</v>
      </c>
      <c r="AF6" s="184"/>
      <c r="AG6" s="16"/>
      <c r="AH6" s="3" t="str">
        <f>IF(Table92839495253542[[#This Row],[Course]]= "","",IFERROR(VLOOKUP(Table92839495253542[[#This Row],[Course]],COURSELIST[],2,FALSE),"Course Not Found!"))</f>
        <v/>
      </c>
      <c r="AI6" s="3" t="str">
        <f>IF(Table92839495253542[[#This Row],[Course]]= "","",IFERROR(VLOOKUP(Table92839495253542[[#This Row],[Course]],COURSELIST[],3,FALSE),""))</f>
        <v/>
      </c>
      <c r="AJ6" s="3" t="str">
        <f>IF(Table92839495253542[[#This Row],[Course]]= "","",IFERROR(VLOOKUP(Table92839495253542[[#This Row],[Course]],COURSELIST[],4,FALSE),""))</f>
        <v/>
      </c>
      <c r="AL6" s="3" t="str">
        <f>IF(Table92839495253542[[#This Row],[Course]]= "","",IFERROR(VLOOKUP(Table92839495253542[[#This Row],[Course]],COURSELIST[],6,FALSE),""))</f>
        <v/>
      </c>
      <c r="AM6" s="3" t="str">
        <f>IF(Table92839495253542[[#This Row],[Course]]= "","",IFERROR(VLOOKUP(Table92839495253542[[#This Row],[Course]],COURSELIST[],7,FALSE),""))</f>
        <v/>
      </c>
      <c r="AN6" s="3" t="str">
        <f>IF(Table92839495253542[[#This Row],[Course]]= "","",IFERROR(VLOOKUP(Table92839495253542[[#This Row],[Course]],COURSELIST[],8,FALSE),""))</f>
        <v/>
      </c>
    </row>
    <row r="7" spans="1:40" ht="15.75" outlineLevel="1" thickBot="1">
      <c r="B7" s="184"/>
      <c r="C7" s="16" t="s">
        <v>122</v>
      </c>
      <c r="D7" s="3" t="str">
        <f>IF(CSMINORFALL201336[[#This Row],[Course]]= "","",IFERROR(VLOOKUP(CSMINORFALL201336[[#This Row],[Course]],COURSELIST[],2,FALSE),"Course Not Found!"))</f>
        <v xml:space="preserve">Intro To Java </v>
      </c>
      <c r="E7" s="3" t="str">
        <f>IF(CSMINORFALL201336[[#This Row],[Course]]= "","",IFERROR(VLOOKUP(CSMINORFALL201336[[#This Row],[Course]],COURSELIST[],3,FALSE),""))</f>
        <v>IT</v>
      </c>
      <c r="F7" s="3">
        <f>IF(CSMINORFALL201336[[#This Row],[Course]]= "","",IFERROR(VLOOKUP(CSMINORFALL201336[[#This Row],[Course]],COURSELIST[],4,FALSE),""))</f>
        <v>3</v>
      </c>
      <c r="H7" s="3" t="str">
        <f>IF(CSMINORFALL201336[[#This Row],[Course]]= "","",IFERROR(VLOOKUP(CSMINORFALL201336[[#This Row],[Course]],COURSELIST[],6,FALSE),""))</f>
        <v>y</v>
      </c>
      <c r="I7" s="3" t="str">
        <f>IF(CSMINORFALL201336[[#This Row],[Course]]= "","",IFERROR(VLOOKUP(CSMINORFALL201336[[#This Row],[Course]],COURSELIST[],7,FALSE),""))</f>
        <v>y</v>
      </c>
      <c r="J7" s="3">
        <f>IF(CSMINORFALL201336[[#This Row],[Course]]= "","",IFERROR(VLOOKUP(CSMINORFALL201336[[#This Row],[Course]],COURSELIST[],8,FALSE),""))</f>
        <v>12</v>
      </c>
      <c r="L7" s="184"/>
      <c r="M7" s="16"/>
      <c r="N7" s="3" t="str">
        <f>IF(CSMINORWINTERIM201441[[#This Row],[Course]]= "","",IFERROR(VLOOKUP(CSMINORWINTERIM201441[[#This Row],[Course]],COURSELIST[],2,FALSE), "Class Not Found!"))</f>
        <v/>
      </c>
      <c r="O7" s="3" t="str">
        <f>IF(CSMINORWINTERIM201441[[#This Row],[Course]]= "","",IFERROR(VLOOKUP(CSMINORWINTERIM201441[[#This Row],[Course]],COURSELIST[],3,FALSE),""))</f>
        <v/>
      </c>
      <c r="P7" s="3" t="str">
        <f>IF(CSMINORWINTERIM201441[[#This Row],[Course]]= "","",IFERROR(VLOOKUP(CSMINORWINTERIM201441[[#This Row],[Course]],COURSELIST[],4,FALSE),""))</f>
        <v/>
      </c>
      <c r="R7" s="3" t="str">
        <f>IF(CSMINORWINTERIM201441[[#This Row],[Course]]= "","",IFERROR(VLOOKUP(CSMINORWINTERIM201441[[#This Row],[Course]],COURSELIST[],6,FALSE),""))</f>
        <v/>
      </c>
      <c r="S7" s="3" t="str">
        <f>IF(CSMINORWINTERIM201441[[#This Row],[Course]]= "","",IFERROR(VLOOKUP(CSMINORWINTERIM201441[[#This Row],[Course]],COURSELIST[],7,FALSE),""))</f>
        <v/>
      </c>
      <c r="T7" s="3" t="str">
        <f>IF(CSMINORWINTERIM201441[[#This Row],[Course]]= "","",IFERROR(VLOOKUP(CSMINORWINTERIM201441[[#This Row],[Course]],COURSELIST[],8,FALSE),""))</f>
        <v/>
      </c>
      <c r="V7" s="184"/>
      <c r="W7" s="25" t="s">
        <v>182</v>
      </c>
      <c r="X7" s="3" t="str">
        <f>IF(Table102940[[#This Row],[Course]]= "","",IFERROR(VLOOKUP(Table102940[[#This Row],[Course]],COURSELIST[],2,FALSE), "Class Not Found!"))</f>
        <v>Health</v>
      </c>
      <c r="Y7" s="3" t="str">
        <f>IF(Table102940[[#This Row],[Course]]= "","",IFERROR(VLOOKUP(Table102940[[#This Row],[Course]],COURSELIST[],3,FALSE),""))</f>
        <v>Both</v>
      </c>
      <c r="Z7" s="3">
        <f>IF(Table102940[[#This Row],[Course]]= "","",IFERROR(VLOOKUP(Table102940[[#This Row],[Course]],COURSELIST[],4,FALSE),""))</f>
        <v>1</v>
      </c>
      <c r="AB7" s="3" t="str">
        <f>IF(Table102940[[#This Row],[Course]]= "","",IFERROR(VLOOKUP(Table102940[[#This Row],[Course]],COURSELIST[],6,FALSE),""))</f>
        <v>y</v>
      </c>
      <c r="AC7" s="3" t="str">
        <f>IF(Table102940[[#This Row],[Course]]= "","",IFERROR(VLOOKUP(Table102940[[#This Row],[Course]],COURSELIST[],7,FALSE),""))</f>
        <v>y</v>
      </c>
      <c r="AD7" s="3">
        <f>IF(Table102940[[#This Row],[Course]]= "","",IFERROR(VLOOKUP(Table102940[[#This Row],[Course]],COURSELIST[],8,FALSE),""))</f>
        <v>2.6</v>
      </c>
      <c r="AF7" s="184"/>
      <c r="AG7" s="16"/>
      <c r="AH7" s="3" t="str">
        <f>IF(Table92839495253542[[#This Row],[Course]]= "","",IFERROR(VLOOKUP(Table92839495253542[[#This Row],[Course]],COURSELIST[],2,FALSE),"Course Not Found!"))</f>
        <v/>
      </c>
      <c r="AI7" s="3" t="str">
        <f>IF(Table92839495253542[[#This Row],[Course]]= "","",IFERROR(VLOOKUP(Table92839495253542[[#This Row],[Course]],COURSELIST[],3,FALSE),""))</f>
        <v/>
      </c>
      <c r="AJ7" s="3" t="str">
        <f>IF(Table92839495253542[[#This Row],[Course]]= "","",IFERROR(VLOOKUP(Table92839495253542[[#This Row],[Course]],COURSELIST[],4,FALSE),""))</f>
        <v/>
      </c>
      <c r="AL7" s="3" t="str">
        <f>IF(Table92839495253542[[#This Row],[Course]]= "","",IFERROR(VLOOKUP(Table92839495253542[[#This Row],[Course]],COURSELIST[],6,FALSE),""))</f>
        <v/>
      </c>
      <c r="AM7" s="3" t="str">
        <f>IF(Table92839495253542[[#This Row],[Course]]= "","",IFERROR(VLOOKUP(Table92839495253542[[#This Row],[Course]],COURSELIST[],7,FALSE),""))</f>
        <v/>
      </c>
      <c r="AN7" s="3" t="str">
        <f>IF(Table92839495253542[[#This Row],[Course]]= "","",IFERROR(VLOOKUP(Table92839495253542[[#This Row],[Course]],COURSELIST[],8,FALSE),""))</f>
        <v/>
      </c>
    </row>
    <row r="8" spans="1:40" ht="15.75" outlineLevel="1" thickBot="1">
      <c r="B8" s="184"/>
      <c r="C8" s="16" t="s">
        <v>125</v>
      </c>
      <c r="D8" s="3" t="str">
        <f>IF(CSMINORFALL201336[[#This Row],[Course]]= "","",IFERROR(VLOOKUP(CSMINORFALL201336[[#This Row],[Course]],COURSELIST[],2,FALSE),"Course Not Found!"))</f>
        <v>English 1</v>
      </c>
      <c r="E8" s="3" t="str">
        <f>IF(CSMINORFALL201336[[#This Row],[Course]]= "","",IFERROR(VLOOKUP(CSMINORFALL201336[[#This Row],[Course]],COURSELIST[],3,FALSE),""))</f>
        <v>Both</v>
      </c>
      <c r="F8" s="3">
        <f>IF(CSMINORFALL201336[[#This Row],[Course]]= "","",IFERROR(VLOOKUP(CSMINORFALL201336[[#This Row],[Course]],COURSELIST[],4,FALSE),""))</f>
        <v>3</v>
      </c>
      <c r="H8" s="3" t="str">
        <f>IF(CSMINORFALL201336[[#This Row],[Course]]= "","",IFERROR(VLOOKUP(CSMINORFALL201336[[#This Row],[Course]],COURSELIST[],6,FALSE),""))</f>
        <v>y</v>
      </c>
      <c r="I8" s="3" t="str">
        <f>IF(CSMINORFALL201336[[#This Row],[Course]]= "","",IFERROR(VLOOKUP(CSMINORFALL201336[[#This Row],[Course]],COURSELIST[],7,FALSE),""))</f>
        <v>y</v>
      </c>
      <c r="J8" s="3">
        <f>IF(CSMINORFALL201336[[#This Row],[Course]]= "","",IFERROR(VLOOKUP(CSMINORFALL201336[[#This Row],[Course]],COURSELIST[],8,FALSE),""))</f>
        <v>9</v>
      </c>
      <c r="L8" s="184"/>
      <c r="M8" s="16"/>
      <c r="N8" s="3" t="str">
        <f>IF(CSMINORWINTERIM201441[[#This Row],[Course]]= "","",IFERROR(VLOOKUP(CSMINORWINTERIM201441[[#This Row],[Course]],COURSELIST[],2,FALSE), "Class Not Found!"))</f>
        <v/>
      </c>
      <c r="O8" s="3" t="str">
        <f>IF(CSMINORWINTERIM201441[[#This Row],[Course]]= "","",IFERROR(VLOOKUP(CSMINORWINTERIM201441[[#This Row],[Course]],COURSELIST[],3,FALSE),""))</f>
        <v/>
      </c>
      <c r="P8" s="3" t="str">
        <f>IF(CSMINORWINTERIM201441[[#This Row],[Course]]= "","",IFERROR(VLOOKUP(CSMINORWINTERIM201441[[#This Row],[Course]],COURSELIST[],4,FALSE),""))</f>
        <v/>
      </c>
      <c r="R8" s="3" t="str">
        <f>IF(CSMINORWINTERIM201441[[#This Row],[Course]]= "","",IFERROR(VLOOKUP(CSMINORWINTERIM201441[[#This Row],[Course]],COURSELIST[],6,FALSE),""))</f>
        <v/>
      </c>
      <c r="S8" s="3" t="str">
        <f>IF(CSMINORWINTERIM201441[[#This Row],[Course]]= "","",IFERROR(VLOOKUP(CSMINORWINTERIM201441[[#This Row],[Course]],COURSELIST[],7,FALSE),""))</f>
        <v/>
      </c>
      <c r="T8" s="3" t="str">
        <f>IF(CSMINORWINTERIM201441[[#This Row],[Course]]= "","",IFERROR(VLOOKUP(CSMINORWINTERIM201441[[#This Row],[Course]],COURSELIST[],8,FALSE),""))</f>
        <v/>
      </c>
      <c r="V8" s="184"/>
      <c r="W8" s="25" t="s">
        <v>180</v>
      </c>
      <c r="X8" s="3" t="str">
        <f>IF(Table102940[[#This Row],[Course]]= "","",IFERROR(VLOOKUP(Table102940[[#This Row],[Course]],COURSELIST[],2,FALSE), "Class Not Found!"))</f>
        <v>Intro To Networking</v>
      </c>
      <c r="Y8" s="3" t="str">
        <f>IF(Table102940[[#This Row],[Course]]= "","",IFERROR(VLOOKUP(Table102940[[#This Row],[Course]],COURSELIST[],3,FALSE),""))</f>
        <v>IT</v>
      </c>
      <c r="Z8" s="3">
        <f>IF(Table102940[[#This Row],[Course]]= "","",IFERROR(VLOOKUP(Table102940[[#This Row],[Course]],COURSELIST[],4,FALSE),""))</f>
        <v>3</v>
      </c>
      <c r="AB8" s="3" t="str">
        <f>IF(Table102940[[#This Row],[Course]]= "","",IFERROR(VLOOKUP(Table102940[[#This Row],[Course]],COURSELIST[],6,FALSE),""))</f>
        <v>y</v>
      </c>
      <c r="AC8" s="3" t="str">
        <f>IF(Table102940[[#This Row],[Course]]= "","",IFERROR(VLOOKUP(Table102940[[#This Row],[Course]],COURSELIST[],7,FALSE),""))</f>
        <v>y</v>
      </c>
      <c r="AD8" s="3">
        <f>IF(Table102940[[#This Row],[Course]]= "","",IFERROR(VLOOKUP(Table102940[[#This Row],[Course]],COURSELIST[],8,FALSE),""))</f>
        <v>11</v>
      </c>
      <c r="AF8" s="184"/>
      <c r="AG8" s="25"/>
      <c r="AH8" s="3" t="str">
        <f>IF(Table92839495253542[[#This Row],[Course]]= "","",IFERROR(VLOOKUP(Table92839495253542[[#This Row],[Course]],COURSELIST[],2,FALSE),"Course Not Found!"))</f>
        <v/>
      </c>
      <c r="AI8" s="3" t="str">
        <f>IF(Table92839495253542[[#This Row],[Course]]= "","",IFERROR(VLOOKUP(Table92839495253542[[#This Row],[Course]],COURSELIST[],3,FALSE),""))</f>
        <v/>
      </c>
      <c r="AJ8" s="3" t="str">
        <f>IF(Table92839495253542[[#This Row],[Course]]= "","",IFERROR(VLOOKUP(Table92839495253542[[#This Row],[Course]],COURSELIST[],4,FALSE),""))</f>
        <v/>
      </c>
      <c r="AL8" s="3" t="str">
        <f>IF(Table92839495253542[[#This Row],[Course]]= "","",IFERROR(VLOOKUP(Table92839495253542[[#This Row],[Course]],COURSELIST[],6,FALSE),""))</f>
        <v/>
      </c>
      <c r="AM8" s="3" t="str">
        <f>IF(Table92839495253542[[#This Row],[Course]]= "","",IFERROR(VLOOKUP(Table92839495253542[[#This Row],[Course]],COURSELIST[],7,FALSE),""))</f>
        <v/>
      </c>
      <c r="AN8" s="3" t="str">
        <f>IF(Table92839495253542[[#This Row],[Course]]= "","",IFERROR(VLOOKUP(Table92839495253542[[#This Row],[Course]],COURSELIST[],8,FALSE),""))</f>
        <v/>
      </c>
    </row>
    <row r="9" spans="1:40" ht="15.75" outlineLevel="1" thickBot="1">
      <c r="B9" s="184"/>
      <c r="C9" s="25" t="s">
        <v>132</v>
      </c>
      <c r="D9" s="3" t="str">
        <f>IF(CSMINORFALL201336[[#This Row],[Course]]= "","",IFERROR(VLOOKUP(CSMINORFALL201336[[#This Row],[Course]],COURSELIST[],2,FALSE),"Course Not Found!"))</f>
        <v>New Student Seminar</v>
      </c>
      <c r="E9" s="3" t="str">
        <f>IF(CSMINORFALL201336[[#This Row],[Course]]= "","",IFERROR(VLOOKUP(CSMINORFALL201336[[#This Row],[Course]],COURSELIST[],3,FALSE),""))</f>
        <v>Both</v>
      </c>
      <c r="F9" s="3">
        <f>IF(CSMINORFALL201336[[#This Row],[Course]]= "","",IFERROR(VLOOKUP(CSMINORFALL201336[[#This Row],[Course]],COURSELIST[],4,FALSE),""))</f>
        <v>1</v>
      </c>
      <c r="H9" s="3" t="str">
        <f>IF(CSMINORFALL201336[[#This Row],[Course]]= "","",IFERROR(VLOOKUP(CSMINORFALL201336[[#This Row],[Course]],COURSELIST[],6,FALSE),""))</f>
        <v>y</v>
      </c>
      <c r="I9" s="3" t="str">
        <f>IF(CSMINORFALL201336[[#This Row],[Course]]= "","",IFERROR(VLOOKUP(CSMINORFALL201336[[#This Row],[Course]],COURSELIST[],7,FALSE),""))</f>
        <v>y</v>
      </c>
      <c r="J9" s="3">
        <f>IF(CSMINORFALL201336[[#This Row],[Course]]= "","",IFERROR(VLOOKUP(CSMINORFALL201336[[#This Row],[Course]],COURSELIST[],8,FALSE),""))</f>
        <v>4</v>
      </c>
      <c r="L9" s="184"/>
      <c r="M9" s="16"/>
      <c r="N9" s="3" t="str">
        <f>IF(CSMINORWINTERIM201441[[#This Row],[Course]]= "","",IFERROR(VLOOKUP(CSMINORWINTERIM201441[[#This Row],[Course]],COURSELIST[],2,FALSE), "Class Not Found!"))</f>
        <v/>
      </c>
      <c r="O9" s="3" t="str">
        <f>IF(CSMINORWINTERIM201441[[#This Row],[Course]]= "","",IFERROR(VLOOKUP(CSMINORWINTERIM201441[[#This Row],[Course]],COURSELIST[],3,FALSE),""))</f>
        <v/>
      </c>
      <c r="P9" s="3" t="str">
        <f>IF(CSMINORWINTERIM201441[[#This Row],[Course]]= "","",IFERROR(VLOOKUP(CSMINORWINTERIM201441[[#This Row],[Course]],COURSELIST[],4,FALSE),""))</f>
        <v/>
      </c>
      <c r="R9" s="3" t="str">
        <f>IF(CSMINORWINTERIM201441[[#This Row],[Course]]= "","",IFERROR(VLOOKUP(CSMINORWINTERIM201441[[#This Row],[Course]],COURSELIST[],6,FALSE),""))</f>
        <v/>
      </c>
      <c r="S9" s="3" t="str">
        <f>IF(CSMINORWINTERIM201441[[#This Row],[Course]]= "","",IFERROR(VLOOKUP(CSMINORWINTERIM201441[[#This Row],[Course]],COURSELIST[],7,FALSE),""))</f>
        <v/>
      </c>
      <c r="T9" s="3" t="str">
        <f>IF(CSMINORWINTERIM201441[[#This Row],[Course]]= "","",IFERROR(VLOOKUP(CSMINORWINTERIM201441[[#This Row],[Course]],COURSELIST[],8,FALSE),""))</f>
        <v/>
      </c>
      <c r="V9" s="184"/>
      <c r="W9" s="16"/>
      <c r="X9" s="3" t="str">
        <f>IF(Table102940[[#This Row],[Course]]= "","",IFERROR(VLOOKUP(Table102940[[#This Row],[Course]],COURSELIST[],2,FALSE), "Class Not Found!"))</f>
        <v/>
      </c>
      <c r="Y9" s="3" t="str">
        <f>IF(Table102940[[#This Row],[Course]]= "","",IFERROR(VLOOKUP(Table102940[[#This Row],[Course]],COURSELIST[],3,FALSE),""))</f>
        <v/>
      </c>
      <c r="Z9" s="3" t="str">
        <f>IF(Table102940[[#This Row],[Course]]= "","",IFERROR(VLOOKUP(Table102940[[#This Row],[Course]],COURSELIST[],4,FALSE),""))</f>
        <v/>
      </c>
      <c r="AB9" s="3" t="str">
        <f>IF(Table102940[[#This Row],[Course]]= "","",IFERROR(VLOOKUP(Table102940[[#This Row],[Course]],COURSELIST[],6,FALSE),""))</f>
        <v/>
      </c>
      <c r="AC9" s="3" t="str">
        <f>IF(Table102940[[#This Row],[Course]]= "","",IFERROR(VLOOKUP(Table102940[[#This Row],[Course]],COURSELIST[],7,FALSE),""))</f>
        <v/>
      </c>
      <c r="AD9" s="3" t="str">
        <f>IF(Table102940[[#This Row],[Course]]= "","",IFERROR(VLOOKUP(Table102940[[#This Row],[Course]],COURSELIST[],8,FALSE),""))</f>
        <v/>
      </c>
      <c r="AF9" s="184"/>
      <c r="AG9" s="25"/>
      <c r="AH9" s="3" t="str">
        <f>IF(Table92839495253542[[#This Row],[Course]]= "","",IFERROR(VLOOKUP(Table92839495253542[[#This Row],[Course]],COURSELIST[],2,FALSE),"Course Not Found!"))</f>
        <v/>
      </c>
      <c r="AI9" s="3" t="str">
        <f>IF(Table92839495253542[[#This Row],[Course]]= "","",IFERROR(VLOOKUP(Table92839495253542[[#This Row],[Course]],COURSELIST[],3,FALSE),""))</f>
        <v/>
      </c>
      <c r="AJ9" s="3" t="str">
        <f>IF(Table92839495253542[[#This Row],[Course]]= "","",IFERROR(VLOOKUP(Table92839495253542[[#This Row],[Course]],COURSELIST[],4,FALSE),""))</f>
        <v/>
      </c>
      <c r="AL9" s="3" t="str">
        <f>IF(Table92839495253542[[#This Row],[Course]]= "","",IFERROR(VLOOKUP(Table92839495253542[[#This Row],[Course]],COURSELIST[],6,FALSE),""))</f>
        <v/>
      </c>
      <c r="AM9" s="3" t="str">
        <f>IF(Table92839495253542[[#This Row],[Course]]= "","",IFERROR(VLOOKUP(Table92839495253542[[#This Row],[Course]],COURSELIST[],7,FALSE),""))</f>
        <v/>
      </c>
      <c r="AN9" s="3" t="str">
        <f>IF(Table92839495253542[[#This Row],[Course]]= "","",IFERROR(VLOOKUP(Table92839495253542[[#This Row],[Course]],COURSELIST[],8,FALSE),""))</f>
        <v/>
      </c>
    </row>
    <row r="10" spans="1:40" ht="15.75" outlineLevel="1" thickBot="1">
      <c r="B10" s="184"/>
      <c r="C10" s="25"/>
      <c r="D10" s="4" t="str">
        <f>IF(CSMINORFALL201336[[#This Row],[Course]]= "","",IFERROR(VLOOKUP(CSMINORFALL201336[[#This Row],[Course]],COURSELIST[],2,FALSE),"Course Not Found!"))</f>
        <v/>
      </c>
      <c r="E10" s="4" t="str">
        <f>IF(CSMINORFALL201336[[#This Row],[Course]]= "","",IFERROR(VLOOKUP(CSMINORFALL201336[[#This Row],[Course]],COURSELIST[],3,FALSE),""))</f>
        <v/>
      </c>
      <c r="F10" s="4" t="str">
        <f>IF(CSMINORFALL201336[[#This Row],[Course]]= "","",IFERROR(VLOOKUP(CSMINORFALL201336[[#This Row],[Course]],COURSELIST[],4,FALSE),""))</f>
        <v/>
      </c>
      <c r="G10" s="4"/>
      <c r="H10" s="4" t="str">
        <f>IF(CSMINORFALL201336[[#This Row],[Course]]= "","",IFERROR(VLOOKUP(CSMINORFALL201336[[#This Row],[Course]],COURSELIST[],6,FALSE),""))</f>
        <v/>
      </c>
      <c r="I10" s="4" t="str">
        <f>IF(CSMINORFALL201336[[#This Row],[Course]]= "","",IFERROR(VLOOKUP(CSMINORFALL201336[[#This Row],[Course]],COURSELIST[],7,FALSE),""))</f>
        <v/>
      </c>
      <c r="J10" s="4" t="str">
        <f>IF(CSMINORFALL201336[[#This Row],[Course]]= "","",IFERROR(VLOOKUP(CSMINORFALL201336[[#This Row],[Course]],COURSELIST[],8,FALSE),""))</f>
        <v/>
      </c>
      <c r="L10" s="184"/>
      <c r="M10" s="16"/>
      <c r="N10" s="4" t="str">
        <f>IF(CSMINORWINTERIM201441[[#This Row],[Course]]= "","",IFERROR(VLOOKUP(CSMINORWINTERIM201441[[#This Row],[Course]],COURSELIST[],2,FALSE), "Class Not Found!"))</f>
        <v/>
      </c>
      <c r="O10" s="4" t="str">
        <f>IF(CSMINORWINTERIM201441[[#This Row],[Course]]= "","",IFERROR(VLOOKUP(CSMINORWINTERIM201441[[#This Row],[Course]],COURSELIST[],3,FALSE),""))</f>
        <v/>
      </c>
      <c r="P10" s="4" t="str">
        <f>IF(CSMINORWINTERIM201441[[#This Row],[Course]]= "","",IFERROR(VLOOKUP(CSMINORWINTERIM201441[[#This Row],[Course]],COURSELIST[],4,FALSE),""))</f>
        <v/>
      </c>
      <c r="Q10" s="4"/>
      <c r="R10" s="4" t="str">
        <f>IF(CSMINORWINTERIM201441[[#This Row],[Course]]= "","",IFERROR(VLOOKUP(CSMINORWINTERIM201441[[#This Row],[Course]],COURSELIST[],6,FALSE),""))</f>
        <v/>
      </c>
      <c r="S10" s="4" t="str">
        <f>IF(CSMINORWINTERIM201441[[#This Row],[Course]]= "","",IFERROR(VLOOKUP(CSMINORWINTERIM201441[[#This Row],[Course]],COURSELIST[],7,FALSE),""))</f>
        <v/>
      </c>
      <c r="T10" s="4" t="str">
        <f>IF(CSMINORWINTERIM201441[[#This Row],[Course]]= "","",IFERROR(VLOOKUP(CSMINORWINTERIM201441[[#This Row],[Course]],COURSELIST[],8,FALSE),""))</f>
        <v/>
      </c>
      <c r="V10" s="184"/>
      <c r="W10" s="16"/>
      <c r="X10" s="3" t="str">
        <f>IF(Table102940[[#This Row],[Course]]= "","",IFERROR(VLOOKUP(Table102940[[#This Row],[Course]],COURSELIST[],2,FALSE), "Class Not Found!"))</f>
        <v/>
      </c>
      <c r="Y10" s="3" t="str">
        <f>IF(Table102940[[#This Row],[Course]]= "","",IFERROR(VLOOKUP(Table102940[[#This Row],[Course]],COURSELIST[],3,FALSE),""))</f>
        <v/>
      </c>
      <c r="Z10" s="4" t="str">
        <f>IF(Table102940[[#This Row],[Course]]= "","",IFERROR(VLOOKUP(Table102940[[#This Row],[Course]],COURSELIST[],4,FALSE),""))</f>
        <v/>
      </c>
      <c r="AA10" s="4"/>
      <c r="AB10" s="4" t="str">
        <f>IF(Table102940[[#This Row],[Course]]= "","",IFERROR(VLOOKUP(Table102940[[#This Row],[Course]],COURSELIST[],6,FALSE),""))</f>
        <v/>
      </c>
      <c r="AC10" s="4" t="str">
        <f>IF(Table102940[[#This Row],[Course]]= "","",IFERROR(VLOOKUP(Table102940[[#This Row],[Course]],COURSELIST[],7,FALSE),""))</f>
        <v/>
      </c>
      <c r="AD10" s="4" t="str">
        <f>IF(Table102940[[#This Row],[Course]]= "","",IFERROR(VLOOKUP(Table102940[[#This Row],[Course]],COURSELIST[],8,FALSE),""))</f>
        <v/>
      </c>
      <c r="AF10" s="184"/>
      <c r="AG10" s="28"/>
      <c r="AH10" s="3" t="str">
        <f>IF(Table92839495253542[[#This Row],[Course]]= "","",IFERROR(VLOOKUP(Table92839495253542[[#This Row],[Course]],COURSELIST[],2,FALSE),"Course Not Found!"))</f>
        <v/>
      </c>
      <c r="AI10" s="3" t="str">
        <f>IF(Table92839495253542[[#This Row],[Course]]= "","",IFERROR(VLOOKUP(Table92839495253542[[#This Row],[Course]],COURSELIST[],3,FALSE),""))</f>
        <v/>
      </c>
      <c r="AJ10" s="3" t="str">
        <f>IF(Table92839495253542[[#This Row],[Course]]= "","",IFERROR(VLOOKUP(Table92839495253542[[#This Row],[Course]],COURSELIST[],4,FALSE),""))</f>
        <v/>
      </c>
      <c r="AL10" s="3" t="str">
        <f>IF(Table92839495253542[[#This Row],[Course]]= "","",IFERROR(VLOOKUP(Table92839495253542[[#This Row],[Course]],COURSELIST[],6,FALSE),""))</f>
        <v/>
      </c>
      <c r="AM10" s="3" t="str">
        <f>IF(Table92839495253542[[#This Row],[Course]]= "","",IFERROR(VLOOKUP(Table92839495253542[[#This Row],[Course]],COURSELIST[],7,FALSE),""))</f>
        <v/>
      </c>
      <c r="AN10" s="3" t="str">
        <f>IF(Table92839495253542[[#This Row],[Course]]= "","",IFERROR(VLOOKUP(Table92839495253542[[#This Row],[Course]],COURSELIST[],8,FALSE),""))</f>
        <v/>
      </c>
    </row>
    <row r="11" spans="1:40" s="5" customFormat="1" outlineLevel="1">
      <c r="C11" s="3"/>
      <c r="D11" s="3"/>
      <c r="E11" s="3" t="s">
        <v>10</v>
      </c>
      <c r="F11" s="3">
        <f>SUM(F4:F9)</f>
        <v>16</v>
      </c>
      <c r="G11" s="3"/>
      <c r="H11" s="3"/>
      <c r="I11" s="3" t="s">
        <v>27</v>
      </c>
      <c r="J11" s="3">
        <f>SUM(J4:J10)</f>
        <v>55</v>
      </c>
      <c r="M11" s="3"/>
      <c r="N11" s="3"/>
      <c r="O11" s="3" t="s">
        <v>10</v>
      </c>
      <c r="P11" s="3">
        <f>SUM(P4:P10)</f>
        <v>3</v>
      </c>
      <c r="Q11" s="3"/>
      <c r="R11" s="3"/>
      <c r="S11" s="3" t="s">
        <v>27</v>
      </c>
      <c r="T11" s="3">
        <f>SUM(T4:T10)</f>
        <v>12</v>
      </c>
      <c r="W11" s="3"/>
      <c r="X11" s="3"/>
      <c r="Y11" s="3" t="s">
        <v>10</v>
      </c>
      <c r="Z11" s="3">
        <f>SUM(Z4:Z10)</f>
        <v>14</v>
      </c>
      <c r="AA11" s="3"/>
      <c r="AB11" s="3"/>
      <c r="AC11" s="3" t="s">
        <v>27</v>
      </c>
      <c r="AD11" s="3">
        <f>SUM(AD4:AD10)</f>
        <v>48.6</v>
      </c>
      <c r="AG11" s="3"/>
      <c r="AH11" s="3"/>
      <c r="AI11" s="3" t="s">
        <v>10</v>
      </c>
      <c r="AJ11" s="3">
        <f>SUM(AJ4:AJ10)</f>
        <v>0</v>
      </c>
      <c r="AK11" s="3"/>
      <c r="AL11" s="3"/>
      <c r="AM11" s="3" t="s">
        <v>27</v>
      </c>
      <c r="AN11" s="3">
        <f>SUM(AN4:AN10)</f>
        <v>0</v>
      </c>
    </row>
    <row r="12" spans="1:40" outlineLevel="1">
      <c r="E12" s="3" t="s">
        <v>18</v>
      </c>
      <c r="F12" s="3">
        <f>F11+StartingCredits</f>
        <v>27</v>
      </c>
      <c r="G12" s="5"/>
      <c r="I12" s="3" t="s">
        <v>17</v>
      </c>
      <c r="J12" s="3">
        <f>J11</f>
        <v>55</v>
      </c>
      <c r="O12" s="3" t="s">
        <v>18</v>
      </c>
      <c r="P12" s="3">
        <f>F12+P11</f>
        <v>30</v>
      </c>
      <c r="R12" s="5"/>
      <c r="S12" s="3" t="s">
        <v>17</v>
      </c>
      <c r="T12" s="3">
        <f>T11+J12</f>
        <v>67</v>
      </c>
      <c r="Y12" s="3" t="s">
        <v>18</v>
      </c>
      <c r="Z12" s="3">
        <f>Z11+P12</f>
        <v>44</v>
      </c>
      <c r="AB12" s="5"/>
      <c r="AC12" s="3" t="s">
        <v>17</v>
      </c>
      <c r="AD12" s="3">
        <f>AD11+T12</f>
        <v>115.6</v>
      </c>
      <c r="AI12" s="3" t="s">
        <v>18</v>
      </c>
      <c r="AJ12" s="3">
        <f>AJ11+Z12</f>
        <v>44</v>
      </c>
      <c r="AM12" s="3" t="s">
        <v>17</v>
      </c>
      <c r="AN12" s="3">
        <f>AN11+AD12</f>
        <v>115.6</v>
      </c>
    </row>
    <row r="13" spans="1:40" outlineLevel="1">
      <c r="C13" s="5"/>
      <c r="D13" s="5"/>
      <c r="E13" s="5" t="s">
        <v>19</v>
      </c>
      <c r="F13" s="5">
        <f>F11</f>
        <v>16</v>
      </c>
      <c r="H13" s="5"/>
      <c r="I13" s="3" t="s">
        <v>14</v>
      </c>
      <c r="J13" s="3">
        <f>J11/F11</f>
        <v>3.4375</v>
      </c>
      <c r="M13" s="5"/>
      <c r="N13" s="5"/>
      <c r="O13" s="5" t="s">
        <v>19</v>
      </c>
      <c r="P13" s="5">
        <f>P11+F13</f>
        <v>19</v>
      </c>
      <c r="Q13" s="5"/>
      <c r="S13" s="3" t="s">
        <v>14</v>
      </c>
      <c r="T13" s="3">
        <f>T11/P11</f>
        <v>4</v>
      </c>
      <c r="W13" s="5"/>
      <c r="X13" s="5"/>
      <c r="Y13" s="5" t="s">
        <v>19</v>
      </c>
      <c r="Z13" s="5">
        <f>Z11+P13</f>
        <v>33</v>
      </c>
      <c r="AA13" s="5"/>
      <c r="AC13" s="3" t="s">
        <v>14</v>
      </c>
      <c r="AD13" s="3">
        <f>AD11/Z11</f>
        <v>3.4714285714285715</v>
      </c>
      <c r="AG13" s="5"/>
      <c r="AH13" s="5"/>
      <c r="AI13" s="5" t="s">
        <v>19</v>
      </c>
      <c r="AJ13" s="5">
        <f>AJ11+Z13</f>
        <v>33</v>
      </c>
      <c r="AK13" s="5"/>
      <c r="AM13" s="3" t="s">
        <v>14</v>
      </c>
      <c r="AN13" s="3" t="e">
        <f>AN11/AJ11</f>
        <v>#DIV/0!</v>
      </c>
    </row>
    <row r="14" spans="1:40" outlineLevel="1">
      <c r="I14" s="5" t="s">
        <v>16</v>
      </c>
      <c r="J14" s="5">
        <f>J12/F13</f>
        <v>3.4375</v>
      </c>
      <c r="K14" s="5"/>
      <c r="L14" s="5"/>
      <c r="S14" s="5" t="s">
        <v>16</v>
      </c>
      <c r="T14" s="5">
        <f>T12/P13</f>
        <v>3.5263157894736841</v>
      </c>
      <c r="U14" s="5"/>
      <c r="V14" s="5"/>
      <c r="AC14" s="5" t="s">
        <v>16</v>
      </c>
      <c r="AD14" s="5">
        <f>AD12/Z13</f>
        <v>3.5030303030303029</v>
      </c>
      <c r="AM14" s="5" t="s">
        <v>16</v>
      </c>
      <c r="AN14" s="5">
        <f>AN12/AJ13</f>
        <v>3.5030303030303029</v>
      </c>
    </row>
    <row r="15" spans="1:40" ht="15.75" outlineLevel="1" thickBot="1">
      <c r="I15" s="5"/>
      <c r="J15" s="5"/>
      <c r="K15" s="5"/>
      <c r="L15" s="5"/>
      <c r="S15" s="5"/>
      <c r="T15" s="5"/>
      <c r="U15" s="5"/>
      <c r="V15" s="5"/>
      <c r="AC15" s="5"/>
      <c r="AD15" s="5"/>
      <c r="AM15" s="5"/>
      <c r="AN15" s="5"/>
    </row>
    <row r="16" spans="1:40" s="23" customFormat="1" ht="21.75" thickBot="1">
      <c r="A16" s="92" t="s">
        <v>89</v>
      </c>
      <c r="D16" s="89"/>
      <c r="E16" s="3"/>
      <c r="F16" s="3"/>
      <c r="G16" s="3"/>
      <c r="H16" s="3"/>
      <c r="I16" s="3"/>
      <c r="J16" s="5"/>
      <c r="M16" s="3"/>
      <c r="N16" s="3"/>
      <c r="O16" s="3"/>
      <c r="P16" s="3"/>
      <c r="Q16" s="3"/>
      <c r="R16" s="3"/>
      <c r="S16" s="3"/>
      <c r="T16" s="5"/>
      <c r="W16" s="3"/>
      <c r="X16" s="3"/>
      <c r="Y16" s="3"/>
      <c r="Z16" s="3"/>
      <c r="AA16" s="3"/>
      <c r="AB16" s="3"/>
      <c r="AC16" s="3"/>
      <c r="AD16" s="3"/>
    </row>
    <row r="17" spans="1:41" ht="23.25" customHeight="1" outlineLevel="1" thickBot="1">
      <c r="B17" s="184" t="s">
        <v>597</v>
      </c>
      <c r="C17" s="190" t="s">
        <v>0</v>
      </c>
      <c r="D17" s="191"/>
      <c r="E17" s="192"/>
      <c r="F17" s="193" t="str">
        <f>GradeStatus(Z12)&amp;"--"&amp;Z12&amp;" Credits "&amp;F27&amp;" In Progress"</f>
        <v>Sophomore--44 Credits 59 In Progress</v>
      </c>
      <c r="G17" s="194"/>
      <c r="H17" s="194"/>
      <c r="I17" s="194"/>
      <c r="J17" s="194"/>
      <c r="L17" s="184" t="s">
        <v>94</v>
      </c>
      <c r="M17" s="195" t="s">
        <v>29</v>
      </c>
      <c r="N17" s="196"/>
      <c r="O17" s="197"/>
      <c r="P17" s="182" t="str">
        <f>GradeStatus(F27)&amp;"--"&amp;F27&amp;" Credits "&amp;P27&amp;" In Progress"</f>
        <v>Junior--59 Credits 59 In Progress</v>
      </c>
      <c r="Q17" s="183"/>
      <c r="R17" s="183"/>
      <c r="S17" s="183"/>
      <c r="T17" s="183"/>
      <c r="V17" s="184" t="s">
        <v>95</v>
      </c>
      <c r="W17" s="185" t="s">
        <v>3</v>
      </c>
      <c r="X17" s="186"/>
      <c r="Y17" s="187"/>
      <c r="Z17" s="188" t="str">
        <f>GradeStatus(P27)&amp;"--"&amp;P27&amp;" Credits "&amp;Z27&amp;" In Progress"</f>
        <v>Junior--59 Credits 74 In Progress</v>
      </c>
      <c r="AA17" s="189"/>
      <c r="AB17" s="189"/>
      <c r="AC17" s="189"/>
      <c r="AD17" s="189"/>
      <c r="AF17" s="184" t="s">
        <v>96</v>
      </c>
      <c r="AG17" s="177" t="s">
        <v>58</v>
      </c>
      <c r="AH17" s="178"/>
      <c r="AI17" s="179"/>
      <c r="AJ17" s="180" t="str">
        <f>GradeStatus(Z27)&amp;"--"&amp;Z27&amp;" Credits "&amp;AJ27&amp;" In Progress"</f>
        <v>Junior--74 Credits 83 In Progress</v>
      </c>
      <c r="AK17" s="181"/>
      <c r="AL17" s="181"/>
      <c r="AM17" s="181"/>
      <c r="AN17" s="181"/>
    </row>
    <row r="18" spans="1:41" ht="15.75" outlineLevel="1" thickBot="1">
      <c r="B18" s="184"/>
      <c r="C18" s="3" t="s">
        <v>20</v>
      </c>
      <c r="D18" s="3" t="s">
        <v>24</v>
      </c>
      <c r="E18" s="3" t="s">
        <v>25</v>
      </c>
      <c r="F18" s="3" t="s">
        <v>10</v>
      </c>
      <c r="G18" s="3" t="s">
        <v>26</v>
      </c>
      <c r="H18" s="3" t="s">
        <v>12</v>
      </c>
      <c r="I18" s="3" t="s">
        <v>36</v>
      </c>
      <c r="J18" s="3" t="s">
        <v>28</v>
      </c>
      <c r="L18" s="184"/>
      <c r="M18" s="3" t="s">
        <v>20</v>
      </c>
      <c r="N18" s="3" t="s">
        <v>24</v>
      </c>
      <c r="O18" s="3" t="s">
        <v>25</v>
      </c>
      <c r="P18" s="3" t="s">
        <v>10</v>
      </c>
      <c r="Q18" s="3" t="s">
        <v>26</v>
      </c>
      <c r="R18" s="3" t="s">
        <v>12</v>
      </c>
      <c r="S18" s="3" t="s">
        <v>36</v>
      </c>
      <c r="T18" s="3" t="s">
        <v>28</v>
      </c>
      <c r="V18" s="184"/>
      <c r="W18" s="3" t="s">
        <v>20</v>
      </c>
      <c r="X18" s="3" t="s">
        <v>24</v>
      </c>
      <c r="Y18" s="3" t="s">
        <v>25</v>
      </c>
      <c r="Z18" s="3" t="s">
        <v>10</v>
      </c>
      <c r="AA18" s="3" t="s">
        <v>26</v>
      </c>
      <c r="AB18" s="3" t="s">
        <v>12</v>
      </c>
      <c r="AC18" s="3" t="s">
        <v>36</v>
      </c>
      <c r="AD18" s="3" t="s">
        <v>28</v>
      </c>
      <c r="AF18" s="184"/>
      <c r="AG18" s="3" t="s">
        <v>20</v>
      </c>
      <c r="AH18" s="3" t="s">
        <v>24</v>
      </c>
      <c r="AI18" s="3" t="s">
        <v>25</v>
      </c>
      <c r="AJ18" s="3" t="s">
        <v>10</v>
      </c>
      <c r="AK18" s="3" t="s">
        <v>26</v>
      </c>
      <c r="AL18" s="3" t="s">
        <v>12</v>
      </c>
      <c r="AM18" s="3" t="s">
        <v>36</v>
      </c>
      <c r="AN18" s="3" t="s">
        <v>28</v>
      </c>
    </row>
    <row r="19" spans="1:41" ht="15.75" outlineLevel="1" thickBot="1">
      <c r="B19" s="184"/>
      <c r="C19" s="25" t="s">
        <v>146</v>
      </c>
      <c r="D19" s="3" t="str">
        <f>IF(Table52435[[#This Row],[Course]]= "","",IFERROR(VLOOKUP(Table52435[[#This Row],[Course]],COURSELIST[],2,FALSE),"Course Not Found!"))</f>
        <v>Discrete Mathmatics  3 out of 11 elective units</v>
      </c>
      <c r="E19" s="3" t="str">
        <f>IF(Table52435[[#This Row],[Course]]= "","",IFERROR(VLOOKUP(Table52435[[#This Row],[Course]],COURSELIST[],3,FALSE),""))</f>
        <v>CompSci</v>
      </c>
      <c r="F19" s="3">
        <f>IF(Table52435[[#This Row],[Course]]= "","",IFERROR(VLOOKUP(Table52435[[#This Row],[Course]],COURSELIST[],4,FALSE),""))</f>
        <v>3</v>
      </c>
      <c r="H19" s="3" t="str">
        <f>IF(Table52435[[#This Row],[Course]]= "","",IFERROR(VLOOKUP(Table52435[[#This Row],[Course]],COURSELIST[],6,FALSE),""))</f>
        <v>y</v>
      </c>
      <c r="I19" s="3" t="str">
        <f>IF(Table52435[[#This Row],[Course]]= "","",IFERROR(VLOOKUP(Table52435[[#This Row],[Course]],COURSELIST[],7,FALSE),""))</f>
        <v>y</v>
      </c>
      <c r="J19" s="3">
        <f>IF(Table52435[[#This Row],[Course]]= "","",IFERROR(VLOOKUP(Table52435[[#This Row],[Course]],COURSELIST[],8,FALSE),""))</f>
        <v>3</v>
      </c>
      <c r="L19" s="184"/>
      <c r="M19" s="16"/>
      <c r="N19" s="3" t="str">
        <f>IF(Table123142[[#This Row],[Course]]= "","",IFERROR(VLOOKUP(Table123142[[#This Row],[Course]],COURSELIST[],2,FALSE),"Course Not Found!"))</f>
        <v/>
      </c>
      <c r="O19" s="3" t="str">
        <f>IF(Table123142[[#This Row],[Course]]= "","",IFERROR(VLOOKUP(Table123142[[#This Row],[Course]],COURSELIST[],3,FALSE),""))</f>
        <v/>
      </c>
      <c r="P19" s="3" t="str">
        <f>IF(Table123142[[#This Row],[Course]]= "","",IFERROR(VLOOKUP(Table123142[[#This Row],[Course]],COURSELIST[],4,FALSE),""))</f>
        <v/>
      </c>
      <c r="R19" s="3" t="str">
        <f>IF(Table123142[[#This Row],[Course]]= "","",IFERROR(VLOOKUP(Table123142[[#This Row],[Course]],COURSELIST[],6,FALSE),""))</f>
        <v/>
      </c>
      <c r="S19" s="3" t="str">
        <f>IF(Table123142[[#This Row],[Course]]= "","",IFERROR(VLOOKUP(Table123142[[#This Row],[Course]],COURSELIST[],7,FALSE),""))</f>
        <v/>
      </c>
      <c r="T19" s="3" t="str">
        <f>IF(Table123142[[#This Row],[Course]]= "","",IFERROR(VLOOKUP(Table123142[[#This Row],[Course]],COURSELIST[],8,FALSE),""))</f>
        <v/>
      </c>
      <c r="V19" s="184"/>
      <c r="W19" s="16" t="s">
        <v>187</v>
      </c>
      <c r="X19" s="3" t="str">
        <f>IF(Table72637[[#This Row],[Course]]= "","",IFERROR(VLOOKUP(Table72637[[#This Row],[Course]],COURSELIST[],2,FALSE),"Course Not Found!"))</f>
        <v>Data Structures</v>
      </c>
      <c r="Y19" s="3" t="str">
        <f>IF(Table72637[[#This Row],[Course]]= "","",IFERROR(VLOOKUP(Table72637[[#This Row],[Course]],COURSELIST[],3,FALSE),""))</f>
        <v>CompSci</v>
      </c>
      <c r="Z19" s="3">
        <f>IF(Table72637[[#This Row],[Course]]= "","",IFERROR(VLOOKUP(Table72637[[#This Row],[Course]],COURSELIST[],4,FALSE),""))</f>
        <v>3</v>
      </c>
      <c r="AB19" s="3" t="str">
        <f>IF(Table72637[[#This Row],[Course]]= "","",IFERROR(VLOOKUP(Table72637[[#This Row],[Course]],COURSELIST[],6,FALSE),""))</f>
        <v>y</v>
      </c>
      <c r="AC19" s="3" t="str">
        <f>IF(Table72637[[#This Row],[Course]]= "","",IFERROR(VLOOKUP(Table72637[[#This Row],[Course]],COURSELIST[],7,FALSE),""))</f>
        <v>y</v>
      </c>
      <c r="AD19" s="4">
        <f>IF(Table72637[[#This Row],[Course]]= "","",IFERROR(VLOOKUP(Table72637[[#This Row],[Course]],COURSELIST[],8,FALSE),""))</f>
        <v>12</v>
      </c>
      <c r="AF19" s="184"/>
      <c r="AG19" s="1" t="s">
        <v>226</v>
      </c>
      <c r="AH19" s="3" t="str">
        <f>IF(Table9283949525354[[#This Row],[Course]]= "","",IFERROR(VLOOKUP(Table9283949525354[[#This Row],[Course]],COURSELIST[],2,FALSE),"Course Not Found!"))</f>
        <v>SW15 World of Ideas</v>
      </c>
      <c r="AI19" s="3" t="str">
        <f>IF(Table9283949525354[[#This Row],[Course]]= "","",IFERROR(VLOOKUP(Table9283949525354[[#This Row],[Course]],COURSELIST[],3,FALSE),""))</f>
        <v>Both</v>
      </c>
      <c r="AJ19" s="3">
        <f>IF(Table9283949525354[[#This Row],[Course]]= "","",IFERROR(VLOOKUP(Table9283949525354[[#This Row],[Course]],COURSELIST[],4,FALSE),""))</f>
        <v>3</v>
      </c>
      <c r="AL19" s="3" t="str">
        <f>IF(Table9283949525354[[#This Row],[Course]]= "","",IFERROR(VLOOKUP(Table9283949525354[[#This Row],[Course]],COURSELIST[],6,FALSE),""))</f>
        <v>y</v>
      </c>
      <c r="AM19" s="3" t="str">
        <f>IF(Table9283949525354[[#This Row],[Course]]= "","",IFERROR(VLOOKUP(Table9283949525354[[#This Row],[Course]],COURSELIST[],7,FALSE),""))</f>
        <v>y</v>
      </c>
      <c r="AN19" s="3">
        <f>IF(Table9283949525354[[#This Row],[Course]]= "","",IFERROR(VLOOKUP(Table9283949525354[[#This Row],[Course]],COURSELIST[],8,FALSE),""))</f>
        <v>12</v>
      </c>
    </row>
    <row r="20" spans="1:41" ht="15.75" outlineLevel="1" thickBot="1">
      <c r="B20" s="184"/>
      <c r="C20" s="25" t="s">
        <v>144</v>
      </c>
      <c r="D20" s="3" t="str">
        <f>IF(Table52435[[#This Row],[Course]]= "","",IFERROR(VLOOKUP(Table52435[[#This Row],[Course]],COURSELIST[],2,FALSE),"Course Not Found!"))</f>
        <v>Excel/Access</v>
      </c>
      <c r="E20" s="3" t="str">
        <f>IF(Table52435[[#This Row],[Course]]= "","",IFERROR(VLOOKUP(Table52435[[#This Row],[Course]],COURSELIST[],3,FALSE),""))</f>
        <v>IT</v>
      </c>
      <c r="F20" s="3">
        <f>IF(Table52435[[#This Row],[Course]]= "","",IFERROR(VLOOKUP(Table52435[[#This Row],[Course]],COURSELIST[],4,FALSE),""))</f>
        <v>3</v>
      </c>
      <c r="H20" s="3" t="str">
        <f>IF(Table52435[[#This Row],[Course]]= "","",IFERROR(VLOOKUP(Table52435[[#This Row],[Course]],COURSELIST[],6,FALSE),""))</f>
        <v>y</v>
      </c>
      <c r="I20" s="3" t="str">
        <f>IF(Table52435[[#This Row],[Course]]= "","",IFERROR(VLOOKUP(Table52435[[#This Row],[Course]],COURSELIST[],7,FALSE),""))</f>
        <v>y</v>
      </c>
      <c r="J20" s="3">
        <f>IF(Table52435[[#This Row],[Course]]= "","",IFERROR(VLOOKUP(Table52435[[#This Row],[Course]],COURSELIST[],8,FALSE),""))</f>
        <v>12</v>
      </c>
      <c r="L20" s="184"/>
      <c r="M20" s="16"/>
      <c r="N20" s="3" t="str">
        <f>IF(Table123142[[#This Row],[Course]]= "","",IFERROR(VLOOKUP(Table123142[[#This Row],[Course]],COURSELIST[],2,FALSE),"Course Not Found!"))</f>
        <v/>
      </c>
      <c r="O20" s="3" t="str">
        <f>IF(Table123142[[#This Row],[Course]]= "","",IFERROR(VLOOKUP(Table123142[[#This Row],[Course]],COURSELIST[],3,FALSE),""))</f>
        <v/>
      </c>
      <c r="P20" s="3" t="str">
        <f>IF(Table123142[[#This Row],[Course]]= "","",IFERROR(VLOOKUP(Table123142[[#This Row],[Course]],COURSELIST[],4,FALSE),""))</f>
        <v/>
      </c>
      <c r="R20" s="3" t="str">
        <f>IF(Table123142[[#This Row],[Course]]= "","",IFERROR(VLOOKUP(Table123142[[#This Row],[Course]],COURSELIST[],6,FALSE),""))</f>
        <v/>
      </c>
      <c r="S20" s="3" t="str">
        <f>IF(Table123142[[#This Row],[Course]]= "","",IFERROR(VLOOKUP(Table123142[[#This Row],[Course]],COURSELIST[],7,FALSE),""))</f>
        <v/>
      </c>
      <c r="T20" s="3" t="str">
        <f>IF(Table123142[[#This Row],[Course]]= "","",IFERROR(VLOOKUP(Table123142[[#This Row],[Course]],COURSELIST[],8,FALSE),""))</f>
        <v/>
      </c>
      <c r="V20" s="184"/>
      <c r="W20" s="25" t="s">
        <v>189</v>
      </c>
      <c r="X20" s="3" t="str">
        <f>IF(Table72637[[#This Row],[Course]]= "","",IFERROR(VLOOKUP(Table72637[[#This Row],[Course]],COURSELIST[],2,FALSE),"Course Not Found!"))</f>
        <v>Assembly Programming</v>
      </c>
      <c r="Y20" s="3" t="str">
        <f>IF(Table72637[[#This Row],[Course]]= "","",IFERROR(VLOOKUP(Table72637[[#This Row],[Course]],COURSELIST[],3,FALSE),""))</f>
        <v>CompSci</v>
      </c>
      <c r="Z20" s="3">
        <f>IF(Table72637[[#This Row],[Course]]= "","",IFERROR(VLOOKUP(Table72637[[#This Row],[Course]],COURSELIST[],4,FALSE),""))</f>
        <v>3</v>
      </c>
      <c r="AB20" s="3" t="str">
        <f>IF(Table72637[[#This Row],[Course]]= "","",IFERROR(VLOOKUP(Table72637[[#This Row],[Course]],COURSELIST[],6,FALSE),""))</f>
        <v>y</v>
      </c>
      <c r="AC20" s="3" t="str">
        <f>IF(Table72637[[#This Row],[Course]]= "","",IFERROR(VLOOKUP(Table72637[[#This Row],[Course]],COURSELIST[],7,FALSE),""))</f>
        <v>y</v>
      </c>
      <c r="AD20" s="4">
        <f>IF(Table72637[[#This Row],[Course]]= "","",IFERROR(VLOOKUP(Table72637[[#This Row],[Course]],COURSELIST[],8,FALSE),""))</f>
        <v>11</v>
      </c>
      <c r="AF20" s="184"/>
      <c r="AG20" s="95" t="s">
        <v>216</v>
      </c>
      <c r="AH20" s="3" t="str">
        <f>IF(Table9283949525354[[#This Row],[Course]]= "","",IFERROR(VLOOKUP(Table9283949525354[[#This Row],[Course]],COURSELIST[],2,FALSE),"Course Not Found!"))</f>
        <v>S15  Or English 372</v>
      </c>
      <c r="AI20" s="3" t="str">
        <f>IF(Table9283949525354[[#This Row],[Course]]= "","",IFERROR(VLOOKUP(Table9283949525354[[#This Row],[Course]],COURSELIST[],3,FALSE),""))</f>
        <v>CompSci</v>
      </c>
      <c r="AJ20" s="3">
        <f>IF(Table9283949525354[[#This Row],[Course]]= "","",IFERROR(VLOOKUP(Table9283949525354[[#This Row],[Course]],COURSELIST[],4,FALSE),""))</f>
        <v>3</v>
      </c>
      <c r="AL20" s="3" t="str">
        <f>IF(Table9283949525354[[#This Row],[Course]]= "","",IFERROR(VLOOKUP(Table9283949525354[[#This Row],[Course]],COURSELIST[],6,FALSE),""))</f>
        <v>y</v>
      </c>
      <c r="AM20" s="3" t="str">
        <f>IF(Table9283949525354[[#This Row],[Course]]= "","",IFERROR(VLOOKUP(Table9283949525354[[#This Row],[Course]],COURSELIST[],7,FALSE),""))</f>
        <v>y</v>
      </c>
      <c r="AN20" s="3">
        <f>IF(Table9283949525354[[#This Row],[Course]]= "","",IFERROR(VLOOKUP(Table9283949525354[[#This Row],[Course]],COURSELIST[],8,FALSE),""))</f>
        <v>12</v>
      </c>
    </row>
    <row r="21" spans="1:41" s="5" customFormat="1" ht="15.75" outlineLevel="1" thickBot="1">
      <c r="B21" s="184"/>
      <c r="C21" s="25" t="s">
        <v>139</v>
      </c>
      <c r="D21" s="3" t="str">
        <f>IF(Table52435[[#This Row],[Course]]= "","",IFERROR(VLOOKUP(Table52435[[#This Row],[Course]],COURSELIST[],2,FALSE),"Course Not Found!"))</f>
        <v xml:space="preserve">Intermed Java </v>
      </c>
      <c r="E21" s="3" t="str">
        <f>IF(Table52435[[#This Row],[Course]]= "","",IFERROR(VLOOKUP(Table52435[[#This Row],[Course]],COURSELIST[],3,FALSE),""))</f>
        <v>CompSci</v>
      </c>
      <c r="F21" s="3">
        <f>IF(Table52435[[#This Row],[Course]]= "","",IFERROR(VLOOKUP(Table52435[[#This Row],[Course]],COURSELIST[],4,FALSE),""))</f>
        <v>3</v>
      </c>
      <c r="G21" s="3"/>
      <c r="H21" s="3" t="str">
        <f>IF(Table52435[[#This Row],[Course]]= "","",IFERROR(VLOOKUP(Table52435[[#This Row],[Course]],COURSELIST[],6,FALSE),""))</f>
        <v>y</v>
      </c>
      <c r="I21" s="3" t="str">
        <f>IF(Table52435[[#This Row],[Course]]= "","",IFERROR(VLOOKUP(Table52435[[#This Row],[Course]],COURSELIST[],7,FALSE),""))</f>
        <v>y</v>
      </c>
      <c r="J21" s="3">
        <f>IF(Table52435[[#This Row],[Course]]= "","",IFERROR(VLOOKUP(Table52435[[#This Row],[Course]],COURSELIST[],8,FALSE),""))</f>
        <v>9</v>
      </c>
      <c r="K21" s="3"/>
      <c r="L21" s="184"/>
      <c r="M21" s="16"/>
      <c r="N21" s="3" t="str">
        <f>IF(Table123142[[#This Row],[Course]]= "","",IFERROR(VLOOKUP(Table123142[[#This Row],[Course]],COURSELIST[],2,FALSE),"Course Not Found!"))</f>
        <v/>
      </c>
      <c r="O21" s="3" t="str">
        <f>IF(Table123142[[#This Row],[Course]]= "","",IFERROR(VLOOKUP(Table123142[[#This Row],[Course]],COURSELIST[],3,FALSE),""))</f>
        <v/>
      </c>
      <c r="P21" s="3" t="str">
        <f>IF(Table123142[[#This Row],[Course]]= "","",IFERROR(VLOOKUP(Table123142[[#This Row],[Course]],COURSELIST[],4,FALSE),""))</f>
        <v/>
      </c>
      <c r="Q21" s="3"/>
      <c r="R21" s="3" t="str">
        <f>IF(Table123142[[#This Row],[Course]]= "","",IFERROR(VLOOKUP(Table123142[[#This Row],[Course]],COURSELIST[],6,FALSE),""))</f>
        <v/>
      </c>
      <c r="S21" s="3" t="str">
        <f>IF(Table123142[[#This Row],[Course]]= "","",IFERROR(VLOOKUP(Table123142[[#This Row],[Course]],COURSELIST[],7,FALSE),""))</f>
        <v/>
      </c>
      <c r="T21" s="3" t="str">
        <f>IF(Table123142[[#This Row],[Course]]= "","",IFERROR(VLOOKUP(Table123142[[#This Row],[Course]],COURSELIST[],8,FALSE),""))</f>
        <v/>
      </c>
      <c r="U21" s="3"/>
      <c r="V21" s="184"/>
      <c r="W21" s="25" t="s">
        <v>191</v>
      </c>
      <c r="X21" s="3" t="str">
        <f>IF(Table72637[[#This Row],[Course]]= "","",IFERROR(VLOOKUP(Table72637[[#This Row],[Course]],COURSELIST[],2,FALSE),"Course Not Found!"))</f>
        <v>Macro Economics</v>
      </c>
      <c r="Y21" s="3" t="str">
        <f>IF(Table72637[[#This Row],[Course]]= "","",IFERROR(VLOOKUP(Table72637[[#This Row],[Course]],COURSELIST[],3,FALSE),""))</f>
        <v>IT</v>
      </c>
      <c r="Z21" s="3">
        <f>IF(Table72637[[#This Row],[Course]]= "","",IFERROR(VLOOKUP(Table72637[[#This Row],[Course]],COURSELIST[],4,FALSE),""))</f>
        <v>3</v>
      </c>
      <c r="AA21" s="3"/>
      <c r="AB21" s="3" t="str">
        <f>IF(Table72637[[#This Row],[Course]]= "","",IFERROR(VLOOKUP(Table72637[[#This Row],[Course]],COURSELIST[],6,FALSE),""))</f>
        <v>y</v>
      </c>
      <c r="AC21" s="3" t="str">
        <f>IF(Table72637[[#This Row],[Course]]= "","",IFERROR(VLOOKUP(Table72637[[#This Row],[Course]],COURSELIST[],7,FALSE),""))</f>
        <v>y</v>
      </c>
      <c r="AD21" s="4">
        <f>IF(Table72637[[#This Row],[Course]]= "","",IFERROR(VLOOKUP(Table72637[[#This Row],[Course]],COURSELIST[],8,FALSE),""))</f>
        <v>9</v>
      </c>
      <c r="AF21" s="184"/>
      <c r="AG21" s="1" t="s">
        <v>220</v>
      </c>
      <c r="AH21" s="3" t="str">
        <f>IF(Table9283949525354[[#This Row],[Course]]= "","",IFERROR(VLOOKUP(Table9283949525354[[#This Row],[Course]],COURSELIST[],2,FALSE),"Course Not Found!"))</f>
        <v>S15   UD Marketing</v>
      </c>
      <c r="AI21" s="3" t="str">
        <f>IF(Table9283949525354[[#This Row],[Course]]= "","",IFERROR(VLOOKUP(Table9283949525354[[#This Row],[Course]],COURSELIST[],3,FALSE),""))</f>
        <v>IT</v>
      </c>
      <c r="AJ21" s="3">
        <f>IF(Table9283949525354[[#This Row],[Course]]= "","",IFERROR(VLOOKUP(Table9283949525354[[#This Row],[Course]],COURSELIST[],4,FALSE),""))</f>
        <v>3</v>
      </c>
      <c r="AK21" s="3"/>
      <c r="AL21" s="3" t="str">
        <f>IF(Table9283949525354[[#This Row],[Course]]= "","",IFERROR(VLOOKUP(Table9283949525354[[#This Row],[Course]],COURSELIST[],6,FALSE),""))</f>
        <v>y</v>
      </c>
      <c r="AM21" s="3" t="str">
        <f>IF(Table9283949525354[[#This Row],[Course]]= "","",IFERROR(VLOOKUP(Table9283949525354[[#This Row],[Course]],COURSELIST[],7,FALSE),""))</f>
        <v>y</v>
      </c>
      <c r="AN21" s="3">
        <f>IF(Table9283949525354[[#This Row],[Course]]= "","",IFERROR(VLOOKUP(Table9283949525354[[#This Row],[Course]],COURSELIST[],8,FALSE),""))</f>
        <v>9</v>
      </c>
    </row>
    <row r="22" spans="1:41" s="5" customFormat="1" ht="15.75" outlineLevel="1" thickBot="1">
      <c r="B22" s="184"/>
      <c r="C22" s="25" t="s">
        <v>142</v>
      </c>
      <c r="D22" s="3" t="str">
        <f>IF(Table52435[[#This Row],[Course]]= "","",IFERROR(VLOOKUP(Table52435[[#This Row],[Course]],COURSELIST[],2,FALSE),"Course Not Found!"))</f>
        <v>Business Stats</v>
      </c>
      <c r="E22" s="3" t="str">
        <f>IF(Table52435[[#This Row],[Course]]= "","",IFERROR(VLOOKUP(Table52435[[#This Row],[Course]],COURSELIST[],3,FALSE),""))</f>
        <v>IT</v>
      </c>
      <c r="F22" s="3">
        <f>IF(Table52435[[#This Row],[Course]]= "","",IFERROR(VLOOKUP(Table52435[[#This Row],[Course]],COURSELIST[],4,FALSE),""))</f>
        <v>3</v>
      </c>
      <c r="G22" s="3"/>
      <c r="H22" s="3" t="str">
        <f>IF(Table52435[[#This Row],[Course]]= "","",IFERROR(VLOOKUP(Table52435[[#This Row],[Course]],COURSELIST[],6,FALSE),""))</f>
        <v>y</v>
      </c>
      <c r="I22" s="3" t="str">
        <f>IF(Table52435[[#This Row],[Course]]= "","",IFERROR(VLOOKUP(Table52435[[#This Row],[Course]],COURSELIST[],7,FALSE),""))</f>
        <v>y</v>
      </c>
      <c r="J22" s="3">
        <f>IF(Table52435[[#This Row],[Course]]= "","",IFERROR(VLOOKUP(Table52435[[#This Row],[Course]],COURSELIST[],8,FALSE),""))</f>
        <v>9.99</v>
      </c>
      <c r="K22" s="3"/>
      <c r="L22" s="184"/>
      <c r="M22" s="16"/>
      <c r="N22" s="3" t="str">
        <f>IF(Table123142[[#This Row],[Course]]= "","",IFERROR(VLOOKUP(Table123142[[#This Row],[Course]],COURSELIST[],2,FALSE),"Course Not Found!"))</f>
        <v/>
      </c>
      <c r="O22" s="3" t="str">
        <f>IF(Table123142[[#This Row],[Course]]= "","",IFERROR(VLOOKUP(Table123142[[#This Row],[Course]],COURSELIST[],3,FALSE),""))</f>
        <v/>
      </c>
      <c r="P22" s="3" t="str">
        <f>IF(Table123142[[#This Row],[Course]]= "","",IFERROR(VLOOKUP(Table123142[[#This Row],[Course]],COURSELIST[],4,FALSE),""))</f>
        <v/>
      </c>
      <c r="Q22" s="3"/>
      <c r="R22" s="3" t="str">
        <f>IF(Table123142[[#This Row],[Course]]= "","",IFERROR(VLOOKUP(Table123142[[#This Row],[Course]],COURSELIST[],6,FALSE),""))</f>
        <v/>
      </c>
      <c r="S22" s="3" t="str">
        <f>IF(Table123142[[#This Row],[Course]]= "","",IFERROR(VLOOKUP(Table123142[[#This Row],[Course]],COURSELIST[],7,FALSE),""))</f>
        <v/>
      </c>
      <c r="T22" s="3" t="str">
        <f>IF(Table123142[[#This Row],[Course]]= "","",IFERROR(VLOOKUP(Table123142[[#This Row],[Course]],COURSELIST[],8,FALSE),""))</f>
        <v/>
      </c>
      <c r="U22" s="3"/>
      <c r="V22" s="184"/>
      <c r="W22" s="25" t="s">
        <v>193</v>
      </c>
      <c r="X22" s="3" t="str">
        <f>IF(Table72637[[#This Row],[Course]]= "","",IFERROR(VLOOKUP(Table72637[[#This Row],[Course]],COURSELIST[],2,FALSE),"Course Not Found!"))</f>
        <v>Geography 230</v>
      </c>
      <c r="Y22" s="3" t="str">
        <f>IF(Table72637[[#This Row],[Course]]= "","",IFERROR(VLOOKUP(Table72637[[#This Row],[Course]],COURSELIST[],3,FALSE),""))</f>
        <v>IT</v>
      </c>
      <c r="Z22" s="3">
        <f>IF(Table72637[[#This Row],[Course]]= "","",IFERROR(VLOOKUP(Table72637[[#This Row],[Course]],COURSELIST[],4,FALSE),""))</f>
        <v>3</v>
      </c>
      <c r="AA22" s="3"/>
      <c r="AB22" s="3" t="str">
        <f>IF(Table72637[[#This Row],[Course]]= "","",IFERROR(VLOOKUP(Table72637[[#This Row],[Course]],COURSELIST[],6,FALSE),""))</f>
        <v>y</v>
      </c>
      <c r="AC22" s="3" t="str">
        <f>IF(Table72637[[#This Row],[Course]]= "","",IFERROR(VLOOKUP(Table72637[[#This Row],[Course]],COURSELIST[],7,FALSE),""))</f>
        <v>y</v>
      </c>
      <c r="AD22" s="4">
        <f>IF(Table72637[[#This Row],[Course]]= "","",IFERROR(VLOOKUP(Table72637[[#This Row],[Course]],COURSELIST[],8,FALSE),""))</f>
        <v>8</v>
      </c>
      <c r="AF22" s="184"/>
      <c r="AG22" s="16"/>
      <c r="AH22" s="3" t="str">
        <f>IF(Table9283949525354[[#This Row],[Course]]= "","",IFERROR(VLOOKUP(Table9283949525354[[#This Row],[Course]],COURSELIST[],2,FALSE),"Course Not Found!"))</f>
        <v/>
      </c>
      <c r="AI22" s="3" t="str">
        <f>IF(Table9283949525354[[#This Row],[Course]]= "","",IFERROR(VLOOKUP(Table9283949525354[[#This Row],[Course]],COURSELIST[],3,FALSE),""))</f>
        <v/>
      </c>
      <c r="AJ22" s="3" t="str">
        <f>IF(Table9283949525354[[#This Row],[Course]]= "","",IFERROR(VLOOKUP(Table9283949525354[[#This Row],[Course]],COURSELIST[],4,FALSE),""))</f>
        <v/>
      </c>
      <c r="AK22" s="3"/>
      <c r="AL22" s="3" t="str">
        <f>IF(Table9283949525354[[#This Row],[Course]]= "","",IFERROR(VLOOKUP(Table9283949525354[[#This Row],[Course]],COURSELIST[],6,FALSE),""))</f>
        <v/>
      </c>
      <c r="AM22" s="3" t="str">
        <f>IF(Table9283949525354[[#This Row],[Course]]= "","",IFERROR(VLOOKUP(Table9283949525354[[#This Row],[Course]],COURSELIST[],7,FALSE),""))</f>
        <v/>
      </c>
      <c r="AN22" s="3" t="str">
        <f>IF(Table9283949525354[[#This Row],[Course]]= "","",IFERROR(VLOOKUP(Table9283949525354[[#This Row],[Course]],COURSELIST[],8,FALSE),""))</f>
        <v/>
      </c>
    </row>
    <row r="23" spans="1:41" s="5" customFormat="1" ht="15.75" outlineLevel="1" thickBot="1">
      <c r="B23" s="184"/>
      <c r="C23" s="25" t="s">
        <v>136</v>
      </c>
      <c r="D23" s="3" t="str">
        <f>IF(Table52435[[#This Row],[Course]]= "","",IFERROR(VLOOKUP(Table52435[[#This Row],[Course]],COURSELIST[],2,FALSE),"Course Not Found!"))</f>
        <v>Intro To Accounting</v>
      </c>
      <c r="E23" s="3" t="str">
        <f>IF(Table52435[[#This Row],[Course]]= "","",IFERROR(VLOOKUP(Table52435[[#This Row],[Course]],COURSELIST[],3,FALSE),""))</f>
        <v>IT</v>
      </c>
      <c r="F23" s="3">
        <f>IF(Table52435[[#This Row],[Course]]= "","",IFERROR(VLOOKUP(Table52435[[#This Row],[Course]],COURSELIST[],4,FALSE),""))</f>
        <v>3</v>
      </c>
      <c r="G23" s="3"/>
      <c r="H23" s="3" t="str">
        <f>IF(Table52435[[#This Row],[Course]]= "","",IFERROR(VLOOKUP(Table52435[[#This Row],[Course]],COURSELIST[],6,FALSE),""))</f>
        <v>y</v>
      </c>
      <c r="I23" s="3" t="str">
        <f>IF(Table52435[[#This Row],[Course]]= "","",IFERROR(VLOOKUP(Table52435[[#This Row],[Course]],COURSELIST[],7,FALSE),""))</f>
        <v>y</v>
      </c>
      <c r="J23" s="3">
        <f>IF(Table52435[[#This Row],[Course]]= "","",IFERROR(VLOOKUP(Table52435[[#This Row],[Course]],COURSELIST[],8,FALSE),""))</f>
        <v>6</v>
      </c>
      <c r="K23" s="3"/>
      <c r="L23" s="184"/>
      <c r="M23" s="16"/>
      <c r="N23" s="3" t="str">
        <f>IF(Table123142[[#This Row],[Course]]= "","",IFERROR(VLOOKUP(Table123142[[#This Row],[Course]],COURSELIST[],2,FALSE),"Course Not Found!"))</f>
        <v/>
      </c>
      <c r="O23" s="3" t="str">
        <f>IF(Table123142[[#This Row],[Course]]= "","",IFERROR(VLOOKUP(Table123142[[#This Row],[Course]],COURSELIST[],3,FALSE),""))</f>
        <v/>
      </c>
      <c r="P23" s="3" t="str">
        <f>IF(Table123142[[#This Row],[Course]]= "","",IFERROR(VLOOKUP(Table123142[[#This Row],[Course]],COURSELIST[],4,FALSE),""))</f>
        <v/>
      </c>
      <c r="Q23" s="3"/>
      <c r="R23" s="3" t="str">
        <f>IF(Table123142[[#This Row],[Course]]= "","",IFERROR(VLOOKUP(Table123142[[#This Row],[Course]],COURSELIST[],6,FALSE),""))</f>
        <v/>
      </c>
      <c r="S23" s="3" t="str">
        <f>IF(Table123142[[#This Row],[Course]]= "","",IFERROR(VLOOKUP(Table123142[[#This Row],[Course]],COURSELIST[],7,FALSE),""))</f>
        <v/>
      </c>
      <c r="T23" s="3" t="str">
        <f>IF(Table123142[[#This Row],[Course]]= "","",IFERROR(VLOOKUP(Table123142[[#This Row],[Course]],COURSELIST[],8,FALSE),""))</f>
        <v/>
      </c>
      <c r="U23" s="3"/>
      <c r="V23" s="184"/>
      <c r="W23" s="25" t="s">
        <v>184</v>
      </c>
      <c r="X23" s="3" t="str">
        <f>IF(Table72637[[#This Row],[Course]]= "","",IFERROR(VLOOKUP(Table72637[[#This Row],[Course]],COURSELIST[],2,FALSE),"Course Not Found!"))</f>
        <v>Intermediate Accounting</v>
      </c>
      <c r="Y23" s="3" t="str">
        <f>IF(Table72637[[#This Row],[Course]]= "","",IFERROR(VLOOKUP(Table72637[[#This Row],[Course]],COURSELIST[],3,FALSE),""))</f>
        <v>IT</v>
      </c>
      <c r="Z23" s="3">
        <f>IF(Table72637[[#This Row],[Course]]= "","",IFERROR(VLOOKUP(Table72637[[#This Row],[Course]],COURSELIST[],4,FALSE),""))</f>
        <v>3</v>
      </c>
      <c r="AA23" s="3"/>
      <c r="AB23" s="3" t="str">
        <f>IF(Table72637[[#This Row],[Course]]= "","",IFERROR(VLOOKUP(Table72637[[#This Row],[Course]],COURSELIST[],6,FALSE),""))</f>
        <v>y</v>
      </c>
      <c r="AC23" s="3" t="str">
        <f>IF(Table72637[[#This Row],[Course]]= "","",IFERROR(VLOOKUP(Table72637[[#This Row],[Course]],COURSELIST[],7,FALSE),""))</f>
        <v>y</v>
      </c>
      <c r="AD23" s="4">
        <f>IF(Table72637[[#This Row],[Course]]= "","",IFERROR(VLOOKUP(Table72637[[#This Row],[Course]],COURSELIST[],8,FALSE),""))</f>
        <v>9.99</v>
      </c>
      <c r="AF23" s="184"/>
      <c r="AG23" s="25"/>
      <c r="AH23" s="3" t="str">
        <f>IF(Table9283949525354[[#This Row],[Course]]= "","",IFERROR(VLOOKUP(Table9283949525354[[#This Row],[Course]],COURSELIST[],2,FALSE),"Course Not Found!"))</f>
        <v/>
      </c>
      <c r="AI23" s="3" t="str">
        <f>IF(Table9283949525354[[#This Row],[Course]]= "","",IFERROR(VLOOKUP(Table9283949525354[[#This Row],[Course]],COURSELIST[],3,FALSE),""))</f>
        <v/>
      </c>
      <c r="AJ23" s="3" t="str">
        <f>IF(Table9283949525354[[#This Row],[Course]]= "","",IFERROR(VLOOKUP(Table9283949525354[[#This Row],[Course]],COURSELIST[],4,FALSE),""))</f>
        <v/>
      </c>
      <c r="AK23" s="3"/>
      <c r="AL23" s="3" t="str">
        <f>IF(Table9283949525354[[#This Row],[Course]]= "","",IFERROR(VLOOKUP(Table9283949525354[[#This Row],[Course]],COURSELIST[],6,FALSE),""))</f>
        <v/>
      </c>
      <c r="AM23" s="3" t="str">
        <f>IF(Table9283949525354[[#This Row],[Course]]= "","",IFERROR(VLOOKUP(Table9283949525354[[#This Row],[Course]],COURSELIST[],7,FALSE),""))</f>
        <v/>
      </c>
      <c r="AN23" s="3" t="str">
        <f>IF(Table9283949525354[[#This Row],[Course]]= "","",IFERROR(VLOOKUP(Table9283949525354[[#This Row],[Course]],COURSELIST[],8,FALSE),""))</f>
        <v/>
      </c>
      <c r="AO23" s="3"/>
    </row>
    <row r="24" spans="1:41" s="5" customFormat="1" ht="15.75" outlineLevel="1" thickBot="1">
      <c r="B24" s="184"/>
      <c r="C24" s="26"/>
      <c r="D24" s="3" t="str">
        <f>IF(Table52435[[#This Row],[Course]]= "","",IFERROR(VLOOKUP(Table52435[[#This Row],[Course]],COURSELIST[],2,FALSE),"Course Not Found!"))</f>
        <v/>
      </c>
      <c r="E24" s="3" t="str">
        <f>IF(Table52435[[#This Row],[Course]]= "","",IFERROR(VLOOKUP(Table52435[[#This Row],[Course]],COURSELIST[],3,FALSE),""))</f>
        <v/>
      </c>
      <c r="F24" s="3" t="str">
        <f>IF(Table52435[[#This Row],[Course]]= "","",IFERROR(VLOOKUP(Table52435[[#This Row],[Course]],COURSELIST[],4,FALSE),""))</f>
        <v/>
      </c>
      <c r="G24" s="3"/>
      <c r="H24" s="3" t="str">
        <f>IF(Table52435[[#This Row],[Course]]= "","",IFERROR(VLOOKUP(Table52435[[#This Row],[Course]],COURSELIST[],6,FALSE),""))</f>
        <v/>
      </c>
      <c r="I24" s="3" t="str">
        <f>IF(Table52435[[#This Row],[Course]]= "","",IFERROR(VLOOKUP(Table52435[[#This Row],[Course]],COURSELIST[],7,FALSE),""))</f>
        <v/>
      </c>
      <c r="J24" s="3" t="str">
        <f>IF(Table52435[[#This Row],[Course]]= "","",IFERROR(VLOOKUP(Table52435[[#This Row],[Course]],COURSELIST[],8,FALSE),""))</f>
        <v/>
      </c>
      <c r="L24" s="184"/>
      <c r="M24" s="17"/>
      <c r="N24" s="5" t="str">
        <f>IF(Table123142[[#This Row],[Course]]= "","",IFERROR(VLOOKUP(Table123142[[#This Row],[Course]],COURSELIST[],2,FALSE),"Course Not Found!"))</f>
        <v/>
      </c>
      <c r="O24" s="5" t="str">
        <f>IF(Table123142[[#This Row],[Course]]= "","",IFERROR(VLOOKUP(Table123142[[#This Row],[Course]],COURSELIST[],3,FALSE),""))</f>
        <v/>
      </c>
      <c r="P24" s="5" t="str">
        <f>IF(Table123142[[#This Row],[Course]]= "","",IFERROR(VLOOKUP(Table123142[[#This Row],[Course]],COURSELIST[],4,FALSE),""))</f>
        <v/>
      </c>
      <c r="R24" s="5" t="str">
        <f>IF(Table123142[[#This Row],[Course]]= "","",IFERROR(VLOOKUP(Table123142[[#This Row],[Course]],COURSELIST[],6,FALSE),""))</f>
        <v/>
      </c>
      <c r="S24" s="5" t="str">
        <f>IF(Table123142[[#This Row],[Course]]= "","",IFERROR(VLOOKUP(Table123142[[#This Row],[Course]],COURSELIST[],7,FALSE),""))</f>
        <v/>
      </c>
      <c r="T24" s="3" t="str">
        <f>IF(Table123142[[#This Row],[Course]]= "","",IFERROR(VLOOKUP(Table123142[[#This Row],[Course]],COURSELIST[],8,FALSE),""))</f>
        <v/>
      </c>
      <c r="V24" s="184"/>
      <c r="W24" s="17"/>
      <c r="X24" s="3" t="str">
        <f>IF(Table72637[[#This Row],[Course]]= "","",IFERROR(VLOOKUP(Table72637[[#This Row],[Course]],COURSELIST[],2,FALSE),"Course Not Found!"))</f>
        <v/>
      </c>
      <c r="Y24" s="3" t="str">
        <f>IF(Table72637[[#This Row],[Course]]= "","",IFERROR(VLOOKUP(Table72637[[#This Row],[Course]],COURSELIST[],3,FALSE),""))</f>
        <v/>
      </c>
      <c r="Z24" s="3" t="str">
        <f>IF(Table72637[[#This Row],[Course]]= "","",IFERROR(VLOOKUP(Table72637[[#This Row],[Course]],COURSELIST[],4,FALSE),""))</f>
        <v/>
      </c>
      <c r="AA24" s="3"/>
      <c r="AB24" s="3" t="str">
        <f>IF(Table72637[[#This Row],[Course]]= "","",IFERROR(VLOOKUP(Table72637[[#This Row],[Course]],COURSELIST[],6,FALSE),""))</f>
        <v/>
      </c>
      <c r="AC24" s="3" t="str">
        <f>IF(Table72637[[#This Row],[Course]]= "","",IFERROR(VLOOKUP(Table72637[[#This Row],[Course]],COURSELIST[],7,FALSE),""))</f>
        <v/>
      </c>
      <c r="AD24" s="4" t="str">
        <f>IF(Table72637[[#This Row],[Course]]= "","",IFERROR(VLOOKUP(Table72637[[#This Row],[Course]],COURSELIST[],8,FALSE),""))</f>
        <v/>
      </c>
      <c r="AF24" s="184"/>
      <c r="AG24" s="25"/>
      <c r="AH24" s="3" t="str">
        <f>IF(Table9283949525354[[#This Row],[Course]]= "","",IFERROR(VLOOKUP(Table9283949525354[[#This Row],[Course]],COURSELIST[],2,FALSE),"Course Not Found!"))</f>
        <v/>
      </c>
      <c r="AI24" s="3" t="str">
        <f>IF(Table9283949525354[[#This Row],[Course]]= "","",IFERROR(VLOOKUP(Table9283949525354[[#This Row],[Course]],COURSELIST[],3,FALSE),""))</f>
        <v/>
      </c>
      <c r="AJ24" s="3" t="str">
        <f>IF(Table9283949525354[[#This Row],[Course]]= "","",IFERROR(VLOOKUP(Table9283949525354[[#This Row],[Course]],COURSELIST[],4,FALSE),""))</f>
        <v/>
      </c>
      <c r="AK24" s="3"/>
      <c r="AL24" s="3" t="str">
        <f>IF(Table9283949525354[[#This Row],[Course]]= "","",IFERROR(VLOOKUP(Table9283949525354[[#This Row],[Course]],COURSELIST[],6,FALSE),""))</f>
        <v/>
      </c>
      <c r="AM24" s="3" t="str">
        <f>IF(Table9283949525354[[#This Row],[Course]]= "","",IFERROR(VLOOKUP(Table9283949525354[[#This Row],[Course]],COURSELIST[],7,FALSE),""))</f>
        <v/>
      </c>
      <c r="AN24" s="3" t="str">
        <f>IF(Table9283949525354[[#This Row],[Course]]= "","",IFERROR(VLOOKUP(Table9283949525354[[#This Row],[Course]],COURSELIST[],8,FALSE),""))</f>
        <v/>
      </c>
      <c r="AO24" s="3"/>
    </row>
    <row r="25" spans="1:41" ht="15.75" outlineLevel="1" thickBot="1">
      <c r="B25" s="184"/>
      <c r="C25" s="26"/>
      <c r="D25" s="3" t="str">
        <f>IF(Table52435[[#This Row],[Course]]= "","",IFERROR(VLOOKUP(Table52435[[#This Row],[Course]],COURSELIST[],2,FALSE),"Course Not Found!"))</f>
        <v/>
      </c>
      <c r="E25" s="3" t="str">
        <f>IF(Table52435[[#This Row],[Course]]= "","",IFERROR(VLOOKUP(Table52435[[#This Row],[Course]],COURSELIST[],3,FALSE),""))</f>
        <v/>
      </c>
      <c r="F25" s="3" t="str">
        <f>IF(Table52435[[#This Row],[Course]]= "","",IFERROR(VLOOKUP(Table52435[[#This Row],[Course]],COURSELIST[],4,FALSE),""))</f>
        <v/>
      </c>
      <c r="H25" s="3" t="str">
        <f>IF(Table52435[[#This Row],[Course]]= "","",IFERROR(VLOOKUP(Table52435[[#This Row],[Course]],COURSELIST[],6,FALSE),""))</f>
        <v/>
      </c>
      <c r="I25" s="3" t="str">
        <f>IF(Table52435[[#This Row],[Course]]= "","",IFERROR(VLOOKUP(Table52435[[#This Row],[Course]],COURSELIST[],7,FALSE),""))</f>
        <v/>
      </c>
      <c r="J25" s="3" t="str">
        <f>IF(Table52435[[#This Row],[Course]]= "","",IFERROR(VLOOKUP(Table52435[[#This Row],[Course]],COURSELIST[],8,FALSE),""))</f>
        <v/>
      </c>
      <c r="L25" s="184"/>
      <c r="M25" s="17"/>
      <c r="N25" s="5" t="str">
        <f>IF(Table123142[[#This Row],[Course]]= "","",IFERROR(VLOOKUP(Table123142[[#This Row],[Course]],COURSELIST[],2,FALSE),"Course Not Found!"))</f>
        <v/>
      </c>
      <c r="O25" s="5" t="str">
        <f>IF(Table123142[[#This Row],[Course]]= "","",IFERROR(VLOOKUP(Table123142[[#This Row],[Course]],COURSELIST[],3,FALSE),""))</f>
        <v/>
      </c>
      <c r="P25" s="5" t="str">
        <f>IF(Table123142[[#This Row],[Course]]= "","",IFERROR(VLOOKUP(Table123142[[#This Row],[Course]],COURSELIST[],4,FALSE),""))</f>
        <v/>
      </c>
      <c r="Q25" s="5"/>
      <c r="R25" s="5" t="str">
        <f>IF(Table123142[[#This Row],[Course]]= "","",IFERROR(VLOOKUP(Table123142[[#This Row],[Course]],COURSELIST[],6,FALSE),""))</f>
        <v/>
      </c>
      <c r="S25" s="5" t="str">
        <f>IF(Table123142[[#This Row],[Course]]= "","",IFERROR(VLOOKUP(Table123142[[#This Row],[Course]],COURSELIST[],7,FALSE),""))</f>
        <v/>
      </c>
      <c r="T25" s="3" t="str">
        <f>IF(Table123142[[#This Row],[Course]]= "","",IFERROR(VLOOKUP(Table123142[[#This Row],[Course]],COURSELIST[],8,FALSE),""))</f>
        <v/>
      </c>
      <c r="V25" s="184"/>
      <c r="W25" s="16"/>
      <c r="X25" s="3" t="str">
        <f>IF(Table72637[[#This Row],[Course]]= "","",IFERROR(VLOOKUP(Table72637[[#This Row],[Course]],COURSELIST[],2,FALSE),"Course Not Found!"))</f>
        <v/>
      </c>
      <c r="Y25" s="3" t="str">
        <f>IF(Table72637[[#This Row],[Course]]= "","",IFERROR(VLOOKUP(Table72637[[#This Row],[Course]],COURSELIST[],3,FALSE),""))</f>
        <v/>
      </c>
      <c r="Z25" s="3" t="str">
        <f>IF(Table72637[[#This Row],[Course]]= "","",IFERROR(VLOOKUP(Table72637[[#This Row],[Course]],COURSELIST[],4,FALSE),""))</f>
        <v/>
      </c>
      <c r="AB25" s="3" t="str">
        <f>IF(Table72637[[#This Row],[Course]]= "","",IFERROR(VLOOKUP(Table72637[[#This Row],[Course]],COURSELIST[],6,FALSE),""))</f>
        <v/>
      </c>
      <c r="AC25" s="3" t="str">
        <f>IF(Table72637[[#This Row],[Course]]= "","",IFERROR(VLOOKUP(Table72637[[#This Row],[Course]],COURSELIST[],7,FALSE),""))</f>
        <v/>
      </c>
      <c r="AD25" s="4" t="str">
        <f>IF(Table72637[[#This Row],[Course]]= "","",IFERROR(VLOOKUP(Table72637[[#This Row],[Course]],COURSELIST[],8,FALSE),""))</f>
        <v/>
      </c>
      <c r="AF25" s="184"/>
      <c r="AG25" s="28"/>
      <c r="AH25" s="3" t="str">
        <f>IF(Table9283949525354[[#This Row],[Course]]= "","",IFERROR(VLOOKUP(Table9283949525354[[#This Row],[Course]],COURSELIST[],2,FALSE),"Course Not Found!"))</f>
        <v/>
      </c>
      <c r="AI25" s="3" t="str">
        <f>IF(Table9283949525354[[#This Row],[Course]]= "","",IFERROR(VLOOKUP(Table9283949525354[[#This Row],[Course]],COURSELIST[],3,FALSE),""))</f>
        <v/>
      </c>
      <c r="AJ25" s="3" t="str">
        <f>IF(Table9283949525354[[#This Row],[Course]]= "","",IFERROR(VLOOKUP(Table9283949525354[[#This Row],[Course]],COURSELIST[],4,FALSE),""))</f>
        <v/>
      </c>
      <c r="AL25" s="3" t="str">
        <f>IF(Table9283949525354[[#This Row],[Course]]= "","",IFERROR(VLOOKUP(Table9283949525354[[#This Row],[Course]],COURSELIST[],6,FALSE),""))</f>
        <v/>
      </c>
      <c r="AM25" s="3" t="str">
        <f>IF(Table9283949525354[[#This Row],[Course]]= "","",IFERROR(VLOOKUP(Table9283949525354[[#This Row],[Course]],COURSELIST[],7,FALSE),""))</f>
        <v/>
      </c>
      <c r="AN25" s="3" t="str">
        <f>IF(Table9283949525354[[#This Row],[Course]]= "","",IFERROR(VLOOKUP(Table9283949525354[[#This Row],[Course]],COURSELIST[],8,FALSE),""))</f>
        <v/>
      </c>
    </row>
    <row r="26" spans="1:41" outlineLevel="1">
      <c r="E26" s="3" t="s">
        <v>10</v>
      </c>
      <c r="F26" s="3">
        <f>SUM(F19:F25)</f>
        <v>15</v>
      </c>
      <c r="I26" s="3" t="s">
        <v>27</v>
      </c>
      <c r="J26" s="3">
        <f>SUM(J19:J25)</f>
        <v>39.99</v>
      </c>
      <c r="M26" s="5"/>
      <c r="N26" s="5"/>
      <c r="O26" s="3" t="s">
        <v>10</v>
      </c>
      <c r="P26" s="3">
        <f>SUM(P19:P23)</f>
        <v>0</v>
      </c>
      <c r="S26" s="3" t="s">
        <v>27</v>
      </c>
      <c r="T26" s="3">
        <f>SUM(T19:T25)</f>
        <v>0</v>
      </c>
      <c r="Y26" s="3" t="s">
        <v>10</v>
      </c>
      <c r="Z26" s="3">
        <f>SUM(Z19:Z25)</f>
        <v>15</v>
      </c>
      <c r="AB26" s="5"/>
      <c r="AC26" s="3" t="s">
        <v>27</v>
      </c>
      <c r="AD26" s="3">
        <f>SUM(AD19:AD25)</f>
        <v>49.99</v>
      </c>
      <c r="AI26" s="3" t="s">
        <v>10</v>
      </c>
      <c r="AJ26" s="3">
        <f>SUM(AJ19:AJ25)</f>
        <v>9</v>
      </c>
      <c r="AM26" s="3" t="s">
        <v>27</v>
      </c>
      <c r="AN26" s="3">
        <f>SUM(AN19:AN25)</f>
        <v>33</v>
      </c>
    </row>
    <row r="27" spans="1:41" outlineLevel="1">
      <c r="E27" s="3" t="s">
        <v>18</v>
      </c>
      <c r="F27" s="3">
        <f>F26+Z12</f>
        <v>59</v>
      </c>
      <c r="I27" s="3" t="s">
        <v>17</v>
      </c>
      <c r="J27" s="3">
        <f>J26+AD12</f>
        <v>155.59</v>
      </c>
      <c r="L27" s="5"/>
      <c r="O27" s="3" t="s">
        <v>18</v>
      </c>
      <c r="P27" s="3">
        <f>P26+F27</f>
        <v>59</v>
      </c>
      <c r="S27" s="3" t="s">
        <v>17</v>
      </c>
      <c r="T27" s="3">
        <f>T26+J27</f>
        <v>155.59</v>
      </c>
      <c r="U27" s="5"/>
      <c r="V27" s="5"/>
      <c r="Y27" s="3" t="s">
        <v>18</v>
      </c>
      <c r="Z27" s="3">
        <f>Z26+P27</f>
        <v>74</v>
      </c>
      <c r="AC27" s="3" t="s">
        <v>17</v>
      </c>
      <c r="AD27" s="3">
        <f>AD26+T27</f>
        <v>205.58</v>
      </c>
      <c r="AI27" s="3" t="s">
        <v>18</v>
      </c>
      <c r="AJ27" s="3">
        <f>AJ26+Z27</f>
        <v>83</v>
      </c>
      <c r="AM27" s="3" t="s">
        <v>17</v>
      </c>
      <c r="AN27" s="3">
        <f>AN26+AD27</f>
        <v>238.58</v>
      </c>
    </row>
    <row r="28" spans="1:41" outlineLevel="1">
      <c r="E28" s="5" t="s">
        <v>19</v>
      </c>
      <c r="F28" s="5">
        <f>F26+Z13</f>
        <v>48</v>
      </c>
      <c r="G28" s="5"/>
      <c r="I28" s="3" t="s">
        <v>46</v>
      </c>
      <c r="J28" s="3">
        <f>J26/F26</f>
        <v>2.6659999999999999</v>
      </c>
      <c r="O28" s="5" t="s">
        <v>19</v>
      </c>
      <c r="P28" s="5">
        <f>P26+F28</f>
        <v>48</v>
      </c>
      <c r="Q28" s="5"/>
      <c r="S28" s="3" t="s">
        <v>14</v>
      </c>
      <c r="T28" s="3" t="e">
        <f>T26/P26</f>
        <v>#DIV/0!</v>
      </c>
      <c r="W28" s="5"/>
      <c r="X28" s="5"/>
      <c r="Y28" s="5" t="s">
        <v>19</v>
      </c>
      <c r="Z28" s="5">
        <f>Z26+P28</f>
        <v>63</v>
      </c>
      <c r="AA28" s="5"/>
      <c r="AC28" s="3" t="s">
        <v>14</v>
      </c>
      <c r="AD28" s="3">
        <f>AD26/Z26</f>
        <v>3.3326666666666669</v>
      </c>
      <c r="AG28" s="5"/>
      <c r="AH28" s="5"/>
      <c r="AI28" s="5" t="s">
        <v>19</v>
      </c>
      <c r="AJ28" s="5">
        <f>AJ26+Z28</f>
        <v>72</v>
      </c>
      <c r="AK28" s="5"/>
      <c r="AM28" s="3" t="s">
        <v>14</v>
      </c>
      <c r="AN28" s="3">
        <f>AN26/AJ26</f>
        <v>3.6666666666666665</v>
      </c>
    </row>
    <row r="29" spans="1:41" s="23" customFormat="1" ht="21.75" outlineLevel="1" thickBot="1">
      <c r="C29" s="3"/>
      <c r="D29" s="3"/>
      <c r="E29" s="3"/>
      <c r="F29" s="3"/>
      <c r="G29" s="3"/>
      <c r="I29" s="5" t="s">
        <v>16</v>
      </c>
      <c r="J29" s="5">
        <f>J27/F28</f>
        <v>3.2414583333333336</v>
      </c>
      <c r="M29" s="5"/>
      <c r="N29" s="5"/>
      <c r="O29" s="3"/>
      <c r="P29" s="3"/>
      <c r="Q29" s="3"/>
      <c r="R29" s="3"/>
      <c r="S29" s="5" t="s">
        <v>16</v>
      </c>
      <c r="T29" s="5">
        <f>T27/P28</f>
        <v>3.2414583333333336</v>
      </c>
      <c r="W29" s="3"/>
      <c r="X29" s="3"/>
      <c r="Y29" s="3"/>
      <c r="Z29" s="3"/>
      <c r="AA29" s="3"/>
      <c r="AB29" s="3"/>
      <c r="AC29" s="5" t="s">
        <v>16</v>
      </c>
      <c r="AD29" s="5">
        <f>AD27/Z28</f>
        <v>3.2631746031746034</v>
      </c>
      <c r="AG29" s="3"/>
      <c r="AH29" s="3"/>
      <c r="AI29" s="3"/>
      <c r="AJ29" s="3"/>
      <c r="AK29" s="3"/>
      <c r="AL29" s="3"/>
      <c r="AM29" s="5" t="s">
        <v>16</v>
      </c>
      <c r="AN29" s="5">
        <f>AN27/AJ28</f>
        <v>3.3136111111111113</v>
      </c>
    </row>
    <row r="30" spans="1:41" ht="21.75" thickBot="1">
      <c r="A30" s="87" t="s">
        <v>90</v>
      </c>
      <c r="D30" s="37"/>
      <c r="J30" s="23"/>
    </row>
    <row r="31" spans="1:41" ht="23.25" customHeight="1" outlineLevel="1" thickBot="1">
      <c r="B31" s="184" t="s">
        <v>597</v>
      </c>
      <c r="C31" s="190" t="s">
        <v>103</v>
      </c>
      <c r="D31" s="191"/>
      <c r="E31" s="192"/>
      <c r="F31" s="193" t="str">
        <f>GradeStatus(AJ27)&amp;"--"&amp;AJ27&amp;" Credits "&amp;F41&amp;" In Progress"</f>
        <v>Junior--83 Credits 98 In Progress</v>
      </c>
      <c r="G31" s="194"/>
      <c r="H31" s="194"/>
      <c r="I31" s="194"/>
      <c r="J31" s="194"/>
      <c r="L31" s="184" t="s">
        <v>94</v>
      </c>
      <c r="M31" s="195" t="s">
        <v>21</v>
      </c>
      <c r="N31" s="196"/>
      <c r="O31" s="197"/>
      <c r="P31" s="182" t="str">
        <f>GradeStatus(F41)&amp;"--"&amp;F41&amp;" Credits "&amp;P41&amp;" In Progress"</f>
        <v>Senior--98 Credits 101 In Progress</v>
      </c>
      <c r="Q31" s="183"/>
      <c r="R31" s="183"/>
      <c r="S31" s="183"/>
      <c r="T31" s="183"/>
      <c r="V31" s="184" t="s">
        <v>95</v>
      </c>
      <c r="W31" s="185" t="s">
        <v>6</v>
      </c>
      <c r="X31" s="186"/>
      <c r="Y31" s="187"/>
      <c r="Z31" s="188" t="str">
        <f>GradeStatus(P41)&amp;"--"&amp;P41&amp;" Credits "&amp;Z41&amp;" In Progress"</f>
        <v>Senior--101 Credits 119 In Progress</v>
      </c>
      <c r="AA31" s="189"/>
      <c r="AB31" s="189"/>
      <c r="AC31" s="189"/>
      <c r="AD31" s="189"/>
      <c r="AF31" s="184" t="s">
        <v>96</v>
      </c>
      <c r="AG31" s="177" t="s">
        <v>57</v>
      </c>
      <c r="AH31" s="178"/>
      <c r="AI31" s="179"/>
      <c r="AJ31" s="180" t="str">
        <f>GradeStatus(Z41)&amp;"--"&amp;Z41&amp;" Credits "&amp;AJ41&amp;" In Progress"</f>
        <v>Senior--119 Credits 125 In Progress</v>
      </c>
      <c r="AK31" s="181"/>
      <c r="AL31" s="181"/>
      <c r="AM31" s="181"/>
      <c r="AN31" s="181"/>
    </row>
    <row r="32" spans="1:41" ht="15.75" outlineLevel="1" thickBot="1">
      <c r="B32" s="184"/>
      <c r="C32" s="3" t="s">
        <v>20</v>
      </c>
      <c r="D32" s="3" t="s">
        <v>24</v>
      </c>
      <c r="E32" s="3" t="s">
        <v>25</v>
      </c>
      <c r="F32" s="3" t="s">
        <v>10</v>
      </c>
      <c r="G32" s="3" t="s">
        <v>26</v>
      </c>
      <c r="H32" s="3" t="s">
        <v>12</v>
      </c>
      <c r="I32" s="3" t="s">
        <v>36</v>
      </c>
      <c r="J32" s="3" t="s">
        <v>28</v>
      </c>
      <c r="L32" s="184"/>
      <c r="M32" s="3" t="s">
        <v>20</v>
      </c>
      <c r="N32" s="3" t="s">
        <v>24</v>
      </c>
      <c r="O32" s="3" t="s">
        <v>25</v>
      </c>
      <c r="P32" s="3" t="s">
        <v>10</v>
      </c>
      <c r="Q32" s="3" t="s">
        <v>26</v>
      </c>
      <c r="R32" s="3" t="s">
        <v>12</v>
      </c>
      <c r="S32" s="3" t="s">
        <v>36</v>
      </c>
      <c r="T32" s="1" t="s">
        <v>28</v>
      </c>
      <c r="V32" s="184"/>
      <c r="W32" s="3" t="s">
        <v>20</v>
      </c>
      <c r="X32" s="3" t="s">
        <v>24</v>
      </c>
      <c r="Y32" s="3" t="s">
        <v>25</v>
      </c>
      <c r="Z32" s="3" t="s">
        <v>10</v>
      </c>
      <c r="AA32" s="3" t="s">
        <v>26</v>
      </c>
      <c r="AB32" s="3" t="s">
        <v>12</v>
      </c>
      <c r="AC32" s="3" t="s">
        <v>36</v>
      </c>
      <c r="AD32" s="3" t="s">
        <v>28</v>
      </c>
      <c r="AF32" s="184"/>
      <c r="AG32" s="1" t="s">
        <v>20</v>
      </c>
      <c r="AH32" s="3" t="s">
        <v>24</v>
      </c>
      <c r="AI32" s="3" t="s">
        <v>25</v>
      </c>
      <c r="AJ32" s="3" t="s">
        <v>10</v>
      </c>
      <c r="AK32" s="3" t="s">
        <v>26</v>
      </c>
      <c r="AL32" s="3" t="s">
        <v>12</v>
      </c>
      <c r="AM32" s="3" t="s">
        <v>36</v>
      </c>
      <c r="AN32" s="3" t="s">
        <v>28</v>
      </c>
    </row>
    <row r="33" spans="1:40" s="5" customFormat="1" ht="15.75" outlineLevel="1" thickBot="1">
      <c r="B33" s="184"/>
      <c r="C33" s="25" t="s">
        <v>151</v>
      </c>
      <c r="D33" s="3" t="str">
        <f>IF(Table42334[[#This Row],[Course]]= "","",IFERROR(VLOOKUP(Table42334[[#This Row],[Course]],COURSELIST[],2,FALSE),"Course Not Found!"))</f>
        <v>Business Communication (Changing to BEINDP 290 Fall 2015)</v>
      </c>
      <c r="E33" s="3" t="str">
        <f>IF(Table42334[[#This Row],[Course]]= "","",IFERROR(VLOOKUP(Table42334[[#This Row],[Course]],COURSELIST[],3,FALSE),""))</f>
        <v>IT</v>
      </c>
      <c r="F33" s="3">
        <f>IF(Table42334[[#This Row],[Course]]= "","",IFERROR(VLOOKUP(Table42334[[#This Row],[Course]],COURSELIST[],4,FALSE),""))</f>
        <v>0</v>
      </c>
      <c r="G33" s="3"/>
      <c r="H33" s="3" t="str">
        <f>IF(Table42334[[#This Row],[Course]]= "","",IFERROR(VLOOKUP(Table42334[[#This Row],[Course]],COURSELIST[],6,FALSE),""))</f>
        <v>y</v>
      </c>
      <c r="I33" s="3" t="str">
        <f>IF(Table42334[[#This Row],[Course]]= "","",IFERROR(VLOOKUP(Table42334[[#This Row],[Course]],COURSELIST[],7,FALSE),""))</f>
        <v>n</v>
      </c>
      <c r="J33" s="3">
        <f>IF(Table42334[[#This Row],[Course]]= "","",IFERROR(VLOOKUP(Table42334[[#This Row],[Course]],COURSELIST[],8,FALSE),""))</f>
        <v>0</v>
      </c>
      <c r="K33" s="3"/>
      <c r="L33" s="184"/>
      <c r="M33" s="16" t="s">
        <v>222</v>
      </c>
      <c r="N33" s="3" t="str">
        <f>IF(Table133243[[#This Row],[Course]]= "","",IFERROR(VLOOKUP(Table133243[[#This Row],[Course]],COURSELIST[],2,FALSE),"Course Not Found!"))</f>
        <v>S15  UD Organizational Behavior</v>
      </c>
      <c r="O33" s="3" t="str">
        <f>IF(Table133243[[#This Row],[Course]]= "","",IFERROR(VLOOKUP(Table133243[[#This Row],[Course]],COURSELIST[],3,FALSE),""))</f>
        <v>IT</v>
      </c>
      <c r="P33" s="3">
        <f>IF(Table133243[[#This Row],[Course]]= "","",IFERROR(VLOOKUP(Table133243[[#This Row],[Course]],COURSELIST[],4,FALSE),""))</f>
        <v>3</v>
      </c>
      <c r="Q33" s="3"/>
      <c r="R33" s="3" t="str">
        <f>IF(Table133243[[#This Row],[Course]]= "","",IFERROR(VLOOKUP(Table133243[[#This Row],[Course]],COURSELIST[],6,FALSE),""))</f>
        <v>n</v>
      </c>
      <c r="S33" s="3" t="str">
        <f>IF(Table133243[[#This Row],[Course]]= "","",IFERROR(VLOOKUP(Table133243[[#This Row],[Course]],COURSELIST[],7,FALSE),""))</f>
        <v>n</v>
      </c>
      <c r="T33" s="3">
        <f>IF(Table133243[[#This Row],[Course]]= "","",IFERROR(VLOOKUP(Table133243[[#This Row],[Course]],COURSELIST[],8,FALSE),""))</f>
        <v>0</v>
      </c>
      <c r="U33" s="3"/>
      <c r="V33" s="184"/>
      <c r="W33" s="36" t="s">
        <v>165</v>
      </c>
      <c r="X33" s="3" t="str">
        <f>IF(Table82738[[#This Row],[Course]]= "","",IFERROR(VLOOKUP(Table82738[[#This Row],[Course]],COURSELIST[],2,FALSE),"Course Not Found!"))</f>
        <v>CompSci 382 Server Side Scripting</v>
      </c>
      <c r="Y33" s="3" t="str">
        <f>IF(Table82738[[#This Row],[Course]]= "","",IFERROR(VLOOKUP(Table82738[[#This Row],[Course]],COURSELIST[],3,FALSE),""))</f>
        <v>CompSci</v>
      </c>
      <c r="Z33" s="3">
        <f>IF(Table82738[[#This Row],[Course]]= "","",IFERROR(VLOOKUP(Table82738[[#This Row],[Course]],COURSELIST[],4,FALSE),""))</f>
        <v>3</v>
      </c>
      <c r="AA33" s="3"/>
      <c r="AB33" s="3" t="str">
        <f>IF(Table82738[[#This Row],[Course]]= "","",IFERROR(VLOOKUP(Table82738[[#This Row],[Course]],COURSELIST[],6,FALSE),""))</f>
        <v>n</v>
      </c>
      <c r="AC33" s="3" t="str">
        <f>IF(Table82738[[#This Row],[Course]]= "","",IFERROR(VLOOKUP(Table82738[[#This Row],[Course]],COURSELIST[],7,FALSE),""))</f>
        <v>n</v>
      </c>
      <c r="AD33" s="3">
        <f>IF(Table82738[[#This Row],[Course]]= "","",IFERROR(VLOOKUP(Table82738[[#This Row],[Course]],COURSELIST[],8,FALSE),""))</f>
        <v>0</v>
      </c>
      <c r="AF33" s="184"/>
      <c r="AG33" s="25"/>
      <c r="AH33" s="3" t="str">
        <f>IF(Table92839495253[[#This Row],[Course]]= "","",IFERROR(VLOOKUP(Table92839495253[[#This Row],[Course]],COURSELIST[],2,FALSE),"Course Not Found!"))</f>
        <v/>
      </c>
      <c r="AI33" s="3" t="str">
        <f>IF(Table92839495253[[#This Row],[Course]]= "","",IFERROR(VLOOKUP(Table92839495253[[#This Row],[Course]],COURSELIST[],3,FALSE),""))</f>
        <v/>
      </c>
      <c r="AJ33" s="3" t="str">
        <f>IF(Table92839495253[[#This Row],[Course]]= "","",IFERROR(VLOOKUP(Table92839495253[[#This Row],[Course]],COURSELIST[],4,FALSE),""))</f>
        <v/>
      </c>
      <c r="AK33" s="3"/>
      <c r="AL33" s="3" t="str">
        <f>IF(Table92839495253[[#This Row],[Course]]= "","",IFERROR(VLOOKUP(Table92839495253[[#This Row],[Course]],COURSELIST[],6,FALSE),""))</f>
        <v/>
      </c>
      <c r="AM33" s="3" t="str">
        <f>IF(Table92839495253[[#This Row],[Course]]= "","",IFERROR(VLOOKUP(Table92839495253[[#This Row],[Course]],COURSELIST[],7,FALSE),""))</f>
        <v/>
      </c>
      <c r="AN33" s="3" t="str">
        <f>IF(Table92839495253[[#This Row],[Course]]= "","",IFERROR(VLOOKUP(Table92839495253[[#This Row],[Course]],COURSELIST[],8,FALSE),""))</f>
        <v/>
      </c>
    </row>
    <row r="34" spans="1:40" s="5" customFormat="1" ht="15.75" outlineLevel="1" thickBot="1">
      <c r="B34" s="184"/>
      <c r="C34" s="25" t="s">
        <v>148</v>
      </c>
      <c r="D34" s="3" t="str">
        <f>IF(Table42334[[#This Row],[Course]]= "","",IFERROR(VLOOKUP(Table42334[[#This Row],[Course]],COURSELIST[],2,FALSE),"Course Not Found!"))</f>
        <v>Career Information   (Changing to BEINDP 288 Fall 2015)</v>
      </c>
      <c r="E34" s="3" t="str">
        <f>IF(Table42334[[#This Row],[Course]]= "","",IFERROR(VLOOKUP(Table42334[[#This Row],[Course]],COURSELIST[],3,FALSE),""))</f>
        <v>IT</v>
      </c>
      <c r="F34" s="3">
        <f>IF(Table42334[[#This Row],[Course]]= "","",IFERROR(VLOOKUP(Table42334[[#This Row],[Course]],COURSELIST[],4,FALSE),""))</f>
        <v>0</v>
      </c>
      <c r="G34" s="3"/>
      <c r="H34" s="3" t="str">
        <f>IF(Table42334[[#This Row],[Course]]= "","",IFERROR(VLOOKUP(Table42334[[#This Row],[Course]],COURSELIST[],6,FALSE),""))</f>
        <v>y</v>
      </c>
      <c r="I34" s="3" t="str">
        <f>IF(Table42334[[#This Row],[Course]]= "","",IFERROR(VLOOKUP(Table42334[[#This Row],[Course]],COURSELIST[],7,FALSE),""))</f>
        <v>n</v>
      </c>
      <c r="J34" s="3">
        <f>IF(Table42334[[#This Row],[Course]]= "","",IFERROR(VLOOKUP(Table42334[[#This Row],[Course]],COURSELIST[],8,FALSE),""))</f>
        <v>0</v>
      </c>
      <c r="K34" s="3"/>
      <c r="L34" s="184"/>
      <c r="M34" s="16"/>
      <c r="N34" s="3" t="str">
        <f>IF(Table133243[[#This Row],[Course]]= "","",IFERROR(VLOOKUP(Table133243[[#This Row],[Course]],COURSELIST[],2,FALSE),"Course Not Found!"))</f>
        <v/>
      </c>
      <c r="O34" s="3" t="str">
        <f>IF(Table133243[[#This Row],[Course]]= "","",IFERROR(VLOOKUP(Table133243[[#This Row],[Course]],COURSELIST[],3,FALSE),""))</f>
        <v/>
      </c>
      <c r="P34" s="3" t="str">
        <f>IF(Table133243[[#This Row],[Course]]= "","",IFERROR(VLOOKUP(Table133243[[#This Row],[Course]],COURSELIST[],4,FALSE),""))</f>
        <v/>
      </c>
      <c r="Q34" s="3"/>
      <c r="R34" s="3" t="str">
        <f>IF(Table133243[[#This Row],[Course]]= "","",IFERROR(VLOOKUP(Table133243[[#This Row],[Course]],COURSELIST[],6,FALSE),""))</f>
        <v/>
      </c>
      <c r="S34" s="3" t="str">
        <f>IF(Table133243[[#This Row],[Course]]= "","",IFERROR(VLOOKUP(Table133243[[#This Row],[Course]],COURSELIST[],7,FALSE),""))</f>
        <v/>
      </c>
      <c r="T34" s="3" t="str">
        <f>IF(Table133243[[#This Row],[Course]]= "","",IFERROR(VLOOKUP(Table133243[[#This Row],[Course]],COURSELIST[],8,FALSE),""))</f>
        <v/>
      </c>
      <c r="U34" s="3"/>
      <c r="V34" s="184"/>
      <c r="W34" s="25" t="s">
        <v>197</v>
      </c>
      <c r="X34" s="3" t="str">
        <f>IF(Table82738[[#This Row],[Course]]= "","",IFERROR(VLOOKUP(Table82738[[#This Row],[Course]],COURSELIST[],2,FALSE),"Course Not Found!"))</f>
        <v>THEORY OF ALGORITHMS</v>
      </c>
      <c r="Y34" s="3" t="str">
        <f>IF(Table82738[[#This Row],[Course]]= "","",IFERROR(VLOOKUP(Table82738[[#This Row],[Course]],COURSELIST[],3,FALSE),""))</f>
        <v>CompSci</v>
      </c>
      <c r="Z34" s="3">
        <f>IF(Table82738[[#This Row],[Course]]= "","",IFERROR(VLOOKUP(Table82738[[#This Row],[Course]],COURSELIST[],4,FALSE),""))</f>
        <v>3</v>
      </c>
      <c r="AA34" s="3"/>
      <c r="AB34" s="3" t="str">
        <f>IF(Table82738[[#This Row],[Course]]= "","",IFERROR(VLOOKUP(Table82738[[#This Row],[Course]],COURSELIST[],6,FALSE),""))</f>
        <v>n</v>
      </c>
      <c r="AC34" s="3" t="str">
        <f>IF(Table82738[[#This Row],[Course]]= "","",IFERROR(VLOOKUP(Table82738[[#This Row],[Course]],COURSELIST[],7,FALSE),""))</f>
        <v>n</v>
      </c>
      <c r="AD34" s="3">
        <f>IF(Table82738[[#This Row],[Course]]= "","",IFERROR(VLOOKUP(Table82738[[#This Row],[Course]],COURSELIST[],8,FALSE),""))</f>
        <v>0</v>
      </c>
      <c r="AF34" s="184"/>
      <c r="AG34" s="25"/>
      <c r="AH34" s="3" t="str">
        <f>IF(Table92839495253[[#This Row],[Course]]= "","",IFERROR(VLOOKUP(Table92839495253[[#This Row],[Course]],COURSELIST[],2,FALSE),"Course Not Found!"))</f>
        <v/>
      </c>
      <c r="AI34" s="3" t="str">
        <f>IF(Table92839495253[[#This Row],[Course]]= "","",IFERROR(VLOOKUP(Table92839495253[[#This Row],[Course]],COURSELIST[],3,FALSE),""))</f>
        <v/>
      </c>
      <c r="AJ34" s="3" t="str">
        <f>IF(Table92839495253[[#This Row],[Course]]= "","",IFERROR(VLOOKUP(Table92839495253[[#This Row],[Course]],COURSELIST[],4,FALSE),""))</f>
        <v/>
      </c>
      <c r="AK34" s="3"/>
      <c r="AL34" s="3" t="str">
        <f>IF(Table92839495253[[#This Row],[Course]]= "","",IFERROR(VLOOKUP(Table92839495253[[#This Row],[Course]],COURSELIST[],6,FALSE),""))</f>
        <v/>
      </c>
      <c r="AM34" s="3" t="str">
        <f>IF(Table92839495253[[#This Row],[Course]]= "","",IFERROR(VLOOKUP(Table92839495253[[#This Row],[Course]],COURSELIST[],7,FALSE),""))</f>
        <v/>
      </c>
      <c r="AN34" s="3" t="str">
        <f>IF(Table92839495253[[#This Row],[Course]]= "","",IFERROR(VLOOKUP(Table92839495253[[#This Row],[Course]],COURSELIST[],8,FALSE),""))</f>
        <v/>
      </c>
    </row>
    <row r="35" spans="1:40" s="5" customFormat="1" ht="15.75" outlineLevel="1" thickBot="1">
      <c r="B35" s="184"/>
      <c r="C35" s="25" t="s">
        <v>155</v>
      </c>
      <c r="D35" s="3" t="str">
        <f>IF(Table42334[[#This Row],[Course]]= "","",IFERROR(VLOOKUP(Table42334[[#This Row],[Course]],COURSELIST[],2,FALSE),"Course Not Found!"))</f>
        <v>COMPSCI 476 SOFTWARE ENGINEERING</v>
      </c>
      <c r="E35" s="3" t="str">
        <f>IF(Table42334[[#This Row],[Course]]= "","",IFERROR(VLOOKUP(Table42334[[#This Row],[Course]],COURSELIST[],3,FALSE),""))</f>
        <v>CompSci</v>
      </c>
      <c r="F35" s="3">
        <f>IF(Table42334[[#This Row],[Course]]= "","",IFERROR(VLOOKUP(Table42334[[#This Row],[Course]],COURSELIST[],4,FALSE),""))</f>
        <v>3</v>
      </c>
      <c r="G35" s="3"/>
      <c r="H35" s="3" t="str">
        <f>IF(Table42334[[#This Row],[Course]]= "","",IFERROR(VLOOKUP(Table42334[[#This Row],[Course]],COURSELIST[],6,FALSE),""))</f>
        <v>y</v>
      </c>
      <c r="I35" s="3" t="str">
        <f>IF(Table42334[[#This Row],[Course]]= "","",IFERROR(VLOOKUP(Table42334[[#This Row],[Course]],COURSELIST[],7,FALSE),""))</f>
        <v>n</v>
      </c>
      <c r="J35" s="3">
        <f>IF(Table42334[[#This Row],[Course]]= "","",IFERROR(VLOOKUP(Table42334[[#This Row],[Course]],COURSELIST[],8,FALSE),""))</f>
        <v>0</v>
      </c>
      <c r="K35" s="3"/>
      <c r="L35" s="184"/>
      <c r="M35" s="17"/>
      <c r="N35" s="3" t="str">
        <f>IF(Table133243[[#This Row],[Course]]= "","",IFERROR(VLOOKUP(Table133243[[#This Row],[Course]],COURSELIST[],2,FALSE),"Course Not Found!"))</f>
        <v/>
      </c>
      <c r="O35" s="3" t="str">
        <f>IF(Table133243[[#This Row],[Course]]= "","",IFERROR(VLOOKUP(Table133243[[#This Row],[Course]],COURSELIST[],3,FALSE),""))</f>
        <v/>
      </c>
      <c r="P35" s="3" t="str">
        <f>IF(Table133243[[#This Row],[Course]]= "","",IFERROR(VLOOKUP(Table133243[[#This Row],[Course]],COURSELIST[],4,FALSE),""))</f>
        <v/>
      </c>
      <c r="Q35" s="3"/>
      <c r="R35" s="3" t="str">
        <f>IF(Table133243[[#This Row],[Course]]= "","",IFERROR(VLOOKUP(Table133243[[#This Row],[Course]],COURSELIST[],6,FALSE),""))</f>
        <v/>
      </c>
      <c r="S35" s="3" t="str">
        <f>IF(Table133243[[#This Row],[Course]]= "","",IFERROR(VLOOKUP(Table133243[[#This Row],[Course]],COURSELIST[],7,FALSE),""))</f>
        <v/>
      </c>
      <c r="T35" s="3" t="str">
        <f>IF(Table133243[[#This Row],[Course]]= "","",IFERROR(VLOOKUP(Table133243[[#This Row],[Course]],COURSELIST[],8,FALSE),""))</f>
        <v/>
      </c>
      <c r="U35" s="3"/>
      <c r="V35" s="184"/>
      <c r="W35" s="25" t="s">
        <v>199</v>
      </c>
      <c r="X35" s="3" t="str">
        <f>IF(Table82738[[#This Row],[Course]]= "","",IFERROR(VLOOKUP(Table82738[[#This Row],[Course]],COURSELIST[],2,FALSE),"Course Not Found!"))</f>
        <v>SW15 W16 UD Intro tobusiness law</v>
      </c>
      <c r="Y35" s="3" t="str">
        <f>IF(Table82738[[#This Row],[Course]]= "","",IFERROR(VLOOKUP(Table82738[[#This Row],[Course]],COURSELIST[],3,FALSE),""))</f>
        <v>IT</v>
      </c>
      <c r="Z35" s="3">
        <f>IF(Table82738[[#This Row],[Course]]= "","",IFERROR(VLOOKUP(Table82738[[#This Row],[Course]],COURSELIST[],4,FALSE),""))</f>
        <v>3</v>
      </c>
      <c r="AA35" s="3"/>
      <c r="AB35" s="3" t="str">
        <f>IF(Table82738[[#This Row],[Course]]= "","",IFERROR(VLOOKUP(Table82738[[#This Row],[Course]],COURSELIST[],6,FALSE),""))</f>
        <v>n</v>
      </c>
      <c r="AC35" s="3" t="str">
        <f>IF(Table82738[[#This Row],[Course]]= "","",IFERROR(VLOOKUP(Table82738[[#This Row],[Course]],COURSELIST[],7,FALSE),""))</f>
        <v>n</v>
      </c>
      <c r="AD35" s="3">
        <f>IF(Table82738[[#This Row],[Course]]= "","",IFERROR(VLOOKUP(Table82738[[#This Row],[Course]],COURSELIST[],8,FALSE),""))</f>
        <v>0</v>
      </c>
      <c r="AF35" s="184"/>
      <c r="AG35" s="25"/>
      <c r="AH35" s="3" t="str">
        <f>IF(Table92839495253[[#This Row],[Course]]= "","",IFERROR(VLOOKUP(Table92839495253[[#This Row],[Course]],COURSELIST[],2,FALSE),"Course Not Found!"))</f>
        <v/>
      </c>
      <c r="AI35" s="3" t="str">
        <f>IF(Table92839495253[[#This Row],[Course]]= "","",IFERROR(VLOOKUP(Table92839495253[[#This Row],[Course]],COURSELIST[],3,FALSE),""))</f>
        <v/>
      </c>
      <c r="AJ35" s="3" t="str">
        <f>IF(Table92839495253[[#This Row],[Course]]= "","",IFERROR(VLOOKUP(Table92839495253[[#This Row],[Course]],COURSELIST[],4,FALSE),""))</f>
        <v/>
      </c>
      <c r="AK35" s="3"/>
      <c r="AL35" s="3" t="str">
        <f>IF(Table92839495253[[#This Row],[Course]]= "","",IFERROR(VLOOKUP(Table92839495253[[#This Row],[Course]],COURSELIST[],6,FALSE),""))</f>
        <v/>
      </c>
      <c r="AM35" s="3" t="str">
        <f>IF(Table92839495253[[#This Row],[Course]]= "","",IFERROR(VLOOKUP(Table92839495253[[#This Row],[Course]],COURSELIST[],7,FALSE),""))</f>
        <v/>
      </c>
      <c r="AN35" s="3" t="str">
        <f>IF(Table92839495253[[#This Row],[Course]]= "","",IFERROR(VLOOKUP(Table92839495253[[#This Row],[Course]],COURSELIST[],8,FALSE),""))</f>
        <v/>
      </c>
    </row>
    <row r="36" spans="1:40" s="5" customFormat="1" ht="15.75" outlineLevel="1" thickBot="1">
      <c r="B36" s="184"/>
      <c r="C36" s="25" t="s">
        <v>159</v>
      </c>
      <c r="D36" s="3" t="str">
        <f>IF(Table42334[[#This Row],[Course]]= "","",IFERROR(VLOOKUP(Table42334[[#This Row],[Course]],COURSELIST[],2,FALSE),"Course Not Found!"))</f>
        <v>CompSci 332 Intro to AI</v>
      </c>
      <c r="E36" s="3" t="str">
        <f>IF(Table42334[[#This Row],[Course]]= "","",IFERROR(VLOOKUP(Table42334[[#This Row],[Course]],COURSELIST[],3,FALSE),""))</f>
        <v>CompSci</v>
      </c>
      <c r="F36" s="3">
        <f>IF(Table42334[[#This Row],[Course]]= "","",IFERROR(VLOOKUP(Table42334[[#This Row],[Course]],COURSELIST[],4,FALSE),""))</f>
        <v>3</v>
      </c>
      <c r="G36" s="3"/>
      <c r="H36" s="3" t="str">
        <f>IF(Table42334[[#This Row],[Course]]= "","",IFERROR(VLOOKUP(Table42334[[#This Row],[Course]],COURSELIST[],6,FALSE),""))</f>
        <v>y</v>
      </c>
      <c r="I36" s="3" t="str">
        <f>IF(Table42334[[#This Row],[Course]]= "","",IFERROR(VLOOKUP(Table42334[[#This Row],[Course]],COURSELIST[],7,FALSE),""))</f>
        <v>n</v>
      </c>
      <c r="J36" s="3">
        <f>IF(Table42334[[#This Row],[Course]]= "","",IFERROR(VLOOKUP(Table42334[[#This Row],[Course]],COURSELIST[],8,FALSE),""))</f>
        <v>0</v>
      </c>
      <c r="K36" s="3"/>
      <c r="L36" s="184"/>
      <c r="M36" s="17"/>
      <c r="N36" s="3" t="str">
        <f>IF(Table133243[[#This Row],[Course]]= "","",IFERROR(VLOOKUP(Table133243[[#This Row],[Course]],COURSELIST[],2,FALSE),"Course Not Found!"))</f>
        <v/>
      </c>
      <c r="O36" s="3" t="str">
        <f>IF(Table133243[[#This Row],[Course]]= "","",IFERROR(VLOOKUP(Table133243[[#This Row],[Course]],COURSELIST[],3,FALSE),""))</f>
        <v/>
      </c>
      <c r="P36" s="3" t="str">
        <f>IF(Table133243[[#This Row],[Course]]= "","",IFERROR(VLOOKUP(Table133243[[#This Row],[Course]],COURSELIST[],4,FALSE),""))</f>
        <v/>
      </c>
      <c r="Q36" s="3"/>
      <c r="R36" s="3" t="str">
        <f>IF(Table133243[[#This Row],[Course]]= "","",IFERROR(VLOOKUP(Table133243[[#This Row],[Course]],COURSELIST[],6,FALSE),""))</f>
        <v/>
      </c>
      <c r="S36" s="3" t="str">
        <f>IF(Table133243[[#This Row],[Course]]= "","",IFERROR(VLOOKUP(Table133243[[#This Row],[Course]],COURSELIST[],7,FALSE),""))</f>
        <v/>
      </c>
      <c r="T36" s="3" t="str">
        <f>IF(Table133243[[#This Row],[Course]]= "","",IFERROR(VLOOKUP(Table133243[[#This Row],[Course]],COURSELIST[],8,FALSE),""))</f>
        <v/>
      </c>
      <c r="V36" s="184"/>
      <c r="W36" s="16" t="s">
        <v>166</v>
      </c>
      <c r="X36" s="3" t="str">
        <f>IF(Table82738[[#This Row],[Course]]= "","",IFERROR(VLOOKUP(Table82738[[#This Row],[Course]],COURSELIST[],2,FALSE),"Course Not Found!"))</f>
        <v>S 15   UD business law</v>
      </c>
      <c r="Y36" s="3" t="str">
        <f>IF(Table82738[[#This Row],[Course]]= "","",IFERROR(VLOOKUP(Table82738[[#This Row],[Course]],COURSELIST[],3,FALSE),""))</f>
        <v>IT</v>
      </c>
      <c r="Z36" s="3">
        <f>IF(Table82738[[#This Row],[Course]]= "","",IFERROR(VLOOKUP(Table82738[[#This Row],[Course]],COURSELIST[],4,FALSE),""))</f>
        <v>3</v>
      </c>
      <c r="AA36" s="3"/>
      <c r="AB36" s="3" t="str">
        <f>IF(Table82738[[#This Row],[Course]]= "","",IFERROR(VLOOKUP(Table82738[[#This Row],[Course]],COURSELIST[],6,FALSE),""))</f>
        <v>n</v>
      </c>
      <c r="AC36" s="3" t="str">
        <f>IF(Table82738[[#This Row],[Course]]= "","",IFERROR(VLOOKUP(Table82738[[#This Row],[Course]],COURSELIST[],7,FALSE),""))</f>
        <v>n</v>
      </c>
      <c r="AD36" s="3">
        <f>IF(Table82738[[#This Row],[Course]]= "","",IFERROR(VLOOKUP(Table82738[[#This Row],[Course]],COURSELIST[],8,FALSE),""))</f>
        <v>0</v>
      </c>
      <c r="AF36" s="184"/>
      <c r="AG36" s="16"/>
      <c r="AH36" s="3" t="str">
        <f>IF(Table92839495253[[#This Row],[Course]]= "","",IFERROR(VLOOKUP(Table92839495253[[#This Row],[Course]],COURSELIST[],2,FALSE),"Course Not Found!"))</f>
        <v/>
      </c>
      <c r="AI36" s="3" t="str">
        <f>IF(Table92839495253[[#This Row],[Course]]= "","",IFERROR(VLOOKUP(Table92839495253[[#This Row],[Course]],COURSELIST[],3,FALSE),""))</f>
        <v/>
      </c>
      <c r="AJ36" s="3" t="str">
        <f>IF(Table92839495253[[#This Row],[Course]]= "","",IFERROR(VLOOKUP(Table92839495253[[#This Row],[Course]],COURSELIST[],4,FALSE),""))</f>
        <v/>
      </c>
      <c r="AK36" s="3"/>
      <c r="AL36" s="3" t="str">
        <f>IF(Table92839495253[[#This Row],[Course]]= "","",IFERROR(VLOOKUP(Table92839495253[[#This Row],[Course]],COURSELIST[],6,FALSE),""))</f>
        <v/>
      </c>
      <c r="AM36" s="3" t="str">
        <f>IF(Table92839495253[[#This Row],[Course]]= "","",IFERROR(VLOOKUP(Table92839495253[[#This Row],[Course]],COURSELIST[],7,FALSE),""))</f>
        <v/>
      </c>
      <c r="AN36" s="3" t="str">
        <f>IF(Table92839495253[[#This Row],[Course]]= "","",IFERROR(VLOOKUP(Table92839495253[[#This Row],[Course]],COURSELIST[],8,FALSE),""))</f>
        <v/>
      </c>
    </row>
    <row r="37" spans="1:40" ht="15.75" outlineLevel="1" thickBot="1">
      <c r="B37" s="184"/>
      <c r="C37" s="25" t="s">
        <v>157</v>
      </c>
      <c r="D37" s="3" t="str">
        <f>IF(Table42334[[#This Row],[Course]]= "","",IFERROR(VLOOKUP(Table42334[[#This Row],[Course]],COURSELIST[],2,FALSE),"Course Not Found!"))</f>
        <v>History 125 - American Hist since 1877</v>
      </c>
      <c r="E37" s="3" t="str">
        <f>IF(Table42334[[#This Row],[Course]]= "","",IFERROR(VLOOKUP(Table42334[[#This Row],[Course]],COURSELIST[],3,FALSE),""))</f>
        <v>Both</v>
      </c>
      <c r="F37" s="3">
        <f>IF(Table42334[[#This Row],[Course]]= "","",IFERROR(VLOOKUP(Table42334[[#This Row],[Course]],COURSELIST[],4,FALSE),""))</f>
        <v>3</v>
      </c>
      <c r="H37" s="3" t="str">
        <f>IF(Table42334[[#This Row],[Course]]= "","",IFERROR(VLOOKUP(Table42334[[#This Row],[Course]],COURSELIST[],6,FALSE),""))</f>
        <v>y</v>
      </c>
      <c r="I37" s="3" t="str">
        <f>IF(Table42334[[#This Row],[Course]]= "","",IFERROR(VLOOKUP(Table42334[[#This Row],[Course]],COURSELIST[],7,FALSE),""))</f>
        <v>n</v>
      </c>
      <c r="J37" s="3">
        <f>IF(Table42334[[#This Row],[Course]]= "","",IFERROR(VLOOKUP(Table42334[[#This Row],[Course]],COURSELIST[],8,FALSE),""))</f>
        <v>0</v>
      </c>
      <c r="L37" s="184"/>
      <c r="M37" s="16"/>
      <c r="N37" s="3" t="str">
        <f>IF(Table133243[[#This Row],[Course]]= "","",IFERROR(VLOOKUP(Table133243[[#This Row],[Course]],COURSELIST[],2,FALSE),"Course Not Found!"))</f>
        <v/>
      </c>
      <c r="O37" s="3" t="str">
        <f>IF(Table133243[[#This Row],[Course]]= "","",IFERROR(VLOOKUP(Table133243[[#This Row],[Course]],COURSELIST[],3,FALSE),""))</f>
        <v/>
      </c>
      <c r="P37" s="3" t="str">
        <f>IF(Table133243[[#This Row],[Course]]= "","",IFERROR(VLOOKUP(Table133243[[#This Row],[Course]],COURSELIST[],4,FALSE),""))</f>
        <v/>
      </c>
      <c r="R37" s="3" t="str">
        <f>IF(Table133243[[#This Row],[Course]]= "","",IFERROR(VLOOKUP(Table133243[[#This Row],[Course]],COURSELIST[],6,FALSE),""))</f>
        <v/>
      </c>
      <c r="S37" s="3" t="str">
        <f>IF(Table133243[[#This Row],[Course]]= "","",IFERROR(VLOOKUP(Table133243[[#This Row],[Course]],COURSELIST[],7,FALSE),""))</f>
        <v/>
      </c>
      <c r="T37" s="3" t="str">
        <f>IF(Table133243[[#This Row],[Course]]= "","",IFERROR(VLOOKUP(Table133243[[#This Row],[Course]],COURSELIST[],8,FALSE),""))</f>
        <v/>
      </c>
      <c r="V37" s="184"/>
      <c r="W37" s="25" t="s">
        <v>201</v>
      </c>
      <c r="X37" s="3" t="str">
        <f>IF(Table82738[[#This Row],[Course]]= "","",IFERROR(VLOOKUP(Table82738[[#This Row],[Course]],COURSELIST[],2,FALSE),"Course Not Found!"))</f>
        <v>ITSCM 314 Advanced Database Design -Business Analysis Emph</v>
      </c>
      <c r="Y37" s="3" t="str">
        <f>IF(Table82738[[#This Row],[Course]]= "","",IFERROR(VLOOKUP(Table82738[[#This Row],[Course]],COURSELIST[],3,FALSE),""))</f>
        <v>IT</v>
      </c>
      <c r="Z37" s="3">
        <f>IF(Table82738[[#This Row],[Course]]= "","",IFERROR(VLOOKUP(Table82738[[#This Row],[Course]],COURSELIST[],4,FALSE),""))</f>
        <v>3</v>
      </c>
      <c r="AB37" s="3" t="str">
        <f>IF(Table82738[[#This Row],[Course]]= "","",IFERROR(VLOOKUP(Table82738[[#This Row],[Course]],COURSELIST[],6,FALSE),""))</f>
        <v>n</v>
      </c>
      <c r="AC37" s="3" t="str">
        <f>IF(Table82738[[#This Row],[Course]]= "","",IFERROR(VLOOKUP(Table82738[[#This Row],[Course]],COURSELIST[],7,FALSE),""))</f>
        <v>n</v>
      </c>
      <c r="AD37" s="3">
        <f>IF(Table82738[[#This Row],[Course]]= "","",IFERROR(VLOOKUP(Table82738[[#This Row],[Course]],COURSELIST[],8,FALSE),""))</f>
        <v>0</v>
      </c>
      <c r="AF37" s="184"/>
      <c r="AG37" s="97" t="s">
        <v>214</v>
      </c>
      <c r="AH37" s="3" t="str">
        <f>IF(Table92839495253[[#This Row],[Course]]= "","",IFERROR(VLOOKUP(Table92839495253[[#This Row],[Course]],COURSELIST[],2,FALSE),"Course Not Found!"))</f>
        <v>SW15 Sr Level</v>
      </c>
      <c r="AI37" s="3" t="str">
        <f>IF(Table92839495253[[#This Row],[Course]]= "","",IFERROR(VLOOKUP(Table92839495253[[#This Row],[Course]],COURSELIST[],3,FALSE),""))</f>
        <v>IT</v>
      </c>
      <c r="AJ37" s="3">
        <f>IF(Table92839495253[[#This Row],[Course]]= "","",IFERROR(VLOOKUP(Table92839495253[[#This Row],[Course]],COURSELIST[],4,FALSE),""))</f>
        <v>3</v>
      </c>
      <c r="AL37" s="3" t="str">
        <f>IF(Table92839495253[[#This Row],[Course]]= "","",IFERROR(VLOOKUP(Table92839495253[[#This Row],[Course]],COURSELIST[],6,FALSE),""))</f>
        <v>n</v>
      </c>
      <c r="AM37" s="3" t="str">
        <f>IF(Table92839495253[[#This Row],[Course]]= "","",IFERROR(VLOOKUP(Table92839495253[[#This Row],[Course]],COURSELIST[],7,FALSE),""))</f>
        <v>n</v>
      </c>
      <c r="AN37" s="3">
        <f>IF(Table92839495253[[#This Row],[Course]]= "","",IFERROR(VLOOKUP(Table92839495253[[#This Row],[Course]],COURSELIST[],8,FALSE),""))</f>
        <v>0</v>
      </c>
    </row>
    <row r="38" spans="1:40" ht="15.75" outlineLevel="1" thickBot="1">
      <c r="B38" s="184"/>
      <c r="C38" s="25" t="s">
        <v>153</v>
      </c>
      <c r="D38" s="3" t="str">
        <f>IF(Table42334[[#This Row],[Course]]= "","",IFERROR(VLOOKUP(Table42334[[#This Row],[Course]],COURSELIST[],2,FALSE),"Course Not Found!"))</f>
        <v>Speech and Comm Try for Winterim</v>
      </c>
      <c r="E38" s="3" t="str">
        <f>IF(Table42334[[#This Row],[Course]]= "","",IFERROR(VLOOKUP(Table42334[[#This Row],[Course]],COURSELIST[],3,FALSE),""))</f>
        <v>Both</v>
      </c>
      <c r="F38" s="3">
        <f>IF(Table42334[[#This Row],[Course]]= "","",IFERROR(VLOOKUP(Table42334[[#This Row],[Course]],COURSELIST[],4,FALSE),""))</f>
        <v>3</v>
      </c>
      <c r="H38" s="3" t="str">
        <f>IF(Table42334[[#This Row],[Course]]= "","",IFERROR(VLOOKUP(Table42334[[#This Row],[Course]],COURSELIST[],6,FALSE),""))</f>
        <v>y</v>
      </c>
      <c r="I38" s="3" t="str">
        <f>IF(Table42334[[#This Row],[Course]]= "","",IFERROR(VLOOKUP(Table42334[[#This Row],[Course]],COURSELIST[],7,FALSE),""))</f>
        <v>n</v>
      </c>
      <c r="J38" s="3">
        <f>IF(Table42334[[#This Row],[Course]]= "","",IFERROR(VLOOKUP(Table42334[[#This Row],[Course]],COURSELIST[],8,FALSE),""))</f>
        <v>0</v>
      </c>
      <c r="L38" s="184"/>
      <c r="M38" s="16"/>
      <c r="N38" s="3" t="str">
        <f>IF(Table133243[[#This Row],[Course]]= "","",IFERROR(VLOOKUP(Table133243[[#This Row],[Course]],COURSELIST[],2,FALSE),"Course Not Found!"))</f>
        <v/>
      </c>
      <c r="O38" s="3" t="str">
        <f>IF(Table133243[[#This Row],[Course]]= "","",IFERROR(VLOOKUP(Table133243[[#This Row],[Course]],COURSELIST[],3,FALSE),""))</f>
        <v/>
      </c>
      <c r="P38" s="3" t="str">
        <f>IF(Table133243[[#This Row],[Course]]= "","",IFERROR(VLOOKUP(Table133243[[#This Row],[Course]],COURSELIST[],4,FALSE),""))</f>
        <v/>
      </c>
      <c r="R38" s="3" t="str">
        <f>IF(Table133243[[#This Row],[Course]]= "","",IFERROR(VLOOKUP(Table133243[[#This Row],[Course]],COURSELIST[],6,FALSE),""))</f>
        <v/>
      </c>
      <c r="S38" s="3" t="str">
        <f>IF(Table133243[[#This Row],[Course]]= "","",IFERROR(VLOOKUP(Table133243[[#This Row],[Course]],COURSELIST[],7,FALSE),""))</f>
        <v/>
      </c>
      <c r="T38" s="3" t="str">
        <f>IF(Table133243[[#This Row],[Course]]= "","",IFERROR(VLOOKUP(Table133243[[#This Row],[Course]],COURSELIST[],8,FALSE),""))</f>
        <v/>
      </c>
      <c r="V38" s="184"/>
      <c r="W38" s="96"/>
      <c r="X38" s="3" t="str">
        <f>IF(Table82738[[#This Row],[Course]]= "","",IFERROR(VLOOKUP(Table82738[[#This Row],[Course]],COURSELIST[],2,FALSE),"Course Not Found!"))</f>
        <v/>
      </c>
      <c r="Y38" s="3" t="str">
        <f>IF(Table82738[[#This Row],[Course]]= "","",IFERROR(VLOOKUP(Table82738[[#This Row],[Course]],COURSELIST[],3,FALSE),""))</f>
        <v/>
      </c>
      <c r="Z38" s="3" t="str">
        <f>IF(Table82738[[#This Row],[Course]]= "","",IFERROR(VLOOKUP(Table82738[[#This Row],[Course]],COURSELIST[],4,FALSE),""))</f>
        <v/>
      </c>
      <c r="AB38" s="3" t="str">
        <f>IF(Table82738[[#This Row],[Course]]= "","",IFERROR(VLOOKUP(Table82738[[#This Row],[Course]],COURSELIST[],6,FALSE),""))</f>
        <v/>
      </c>
      <c r="AC38" s="3" t="str">
        <f>IF(Table82738[[#This Row],[Course]]= "","",IFERROR(VLOOKUP(Table82738[[#This Row],[Course]],COURSELIST[],7,FALSE),""))</f>
        <v/>
      </c>
      <c r="AD38" s="3" t="str">
        <f>IF(Table82738[[#This Row],[Course]]= "","",IFERROR(VLOOKUP(Table82738[[#This Row],[Course]],COURSELIST[],8,FALSE),""))</f>
        <v/>
      </c>
      <c r="AF38" s="184"/>
      <c r="AG38" s="6" t="s">
        <v>163</v>
      </c>
      <c r="AH38" s="3" t="str">
        <f>IF(Table92839495253[[#This Row],[Course]]= "","",IFERROR(VLOOKUP(Table92839495253[[#This Row],[Course]],COURSELIST[],2,FALSE),"Course Not Found!"))</f>
        <v>FALL ONLY CompSci 320 Concepts of Programming Languages</v>
      </c>
      <c r="AI38" s="3" t="str">
        <f>IF(Table92839495253[[#This Row],[Course]]= "","",IFERROR(VLOOKUP(Table92839495253[[#This Row],[Course]],COURSELIST[],3,FALSE),""))</f>
        <v>CompSci</v>
      </c>
      <c r="AJ38" s="3">
        <f>IF(Table92839495253[[#This Row],[Course]]= "","",IFERROR(VLOOKUP(Table92839495253[[#This Row],[Course]],COURSELIST[],4,FALSE),""))</f>
        <v>3</v>
      </c>
      <c r="AL38" s="3" t="str">
        <f>IF(Table92839495253[[#This Row],[Course]]= "","",IFERROR(VLOOKUP(Table92839495253[[#This Row],[Course]],COURSELIST[],6,FALSE),""))</f>
        <v>n</v>
      </c>
      <c r="AM38" s="3" t="str">
        <f>IF(Table92839495253[[#This Row],[Course]]= "","",IFERROR(VLOOKUP(Table92839495253[[#This Row],[Course]],COURSELIST[],7,FALSE),""))</f>
        <v>n</v>
      </c>
      <c r="AN38" s="3">
        <f>IF(Table92839495253[[#This Row],[Course]]= "","",IFERROR(VLOOKUP(Table92839495253[[#This Row],[Course]],COURSELIST[],8,FALSE),""))</f>
        <v>0</v>
      </c>
    </row>
    <row r="39" spans="1:40" ht="15.75" outlineLevel="1" thickBot="1">
      <c r="B39" s="184"/>
      <c r="C39" s="25"/>
      <c r="D39" s="3" t="str">
        <f>IF(Table42334[[#This Row],[Course]]= "","",IFERROR(VLOOKUP(Table42334[[#This Row],[Course]],COURSELIST[],2,FALSE),"Course Not Found!"))</f>
        <v/>
      </c>
      <c r="E39" s="3" t="str">
        <f>IF(Table42334[[#This Row],[Course]]= "","",IFERROR(VLOOKUP(Table42334[[#This Row],[Course]],COURSELIST[],3,FALSE),""))</f>
        <v/>
      </c>
      <c r="F39" s="3" t="str">
        <f>IF(Table42334[[#This Row],[Course]]= "","",IFERROR(VLOOKUP(Table42334[[#This Row],[Course]],COURSELIST[],4,FALSE),""))</f>
        <v/>
      </c>
      <c r="H39" s="3" t="str">
        <f>IF(Table42334[[#This Row],[Course]]= "","",IFERROR(VLOOKUP(Table42334[[#This Row],[Course]],COURSELIST[],6,FALSE),""))</f>
        <v/>
      </c>
      <c r="I39" s="3" t="str">
        <f>IF(Table42334[[#This Row],[Course]]= "","",IFERROR(VLOOKUP(Table42334[[#This Row],[Course]],COURSELIST[],7,FALSE),""))</f>
        <v/>
      </c>
      <c r="J39" s="3" t="str">
        <f>IF(Table42334[[#This Row],[Course]]= "","",IFERROR(VLOOKUP(Table42334[[#This Row],[Course]],COURSELIST[],8,FALSE),""))</f>
        <v/>
      </c>
      <c r="K39" s="5"/>
      <c r="L39" s="184"/>
      <c r="M39" s="16"/>
      <c r="N39" s="3" t="str">
        <f>IF(Table133243[[#This Row],[Course]]= "","",IFERROR(VLOOKUP(Table133243[[#This Row],[Course]],COURSELIST[],2,FALSE),"Course Not Found!"))</f>
        <v/>
      </c>
      <c r="O39" s="3" t="str">
        <f>IF(Table133243[[#This Row],[Course]]= "","",IFERROR(VLOOKUP(Table133243[[#This Row],[Course]],COURSELIST[],3,FALSE),""))</f>
        <v/>
      </c>
      <c r="P39" s="3" t="str">
        <f>IF(Table133243[[#This Row],[Course]]= "","",IFERROR(VLOOKUP(Table133243[[#This Row],[Course]],COURSELIST[],4,FALSE),""))</f>
        <v/>
      </c>
      <c r="R39" s="3" t="str">
        <f>IF(Table133243[[#This Row],[Course]]= "","",IFERROR(VLOOKUP(Table133243[[#This Row],[Course]],COURSELIST[],6,FALSE),""))</f>
        <v/>
      </c>
      <c r="S39" s="3" t="str">
        <f>IF(Table133243[[#This Row],[Course]]= "","",IFERROR(VLOOKUP(Table133243[[#This Row],[Course]],COURSELIST[],7,FALSE),""))</f>
        <v/>
      </c>
      <c r="T39" s="3" t="str">
        <f>IF(Table133243[[#This Row],[Course]]= "","",IFERROR(VLOOKUP(Table133243[[#This Row],[Course]],COURSELIST[],8,FALSE),""))</f>
        <v/>
      </c>
      <c r="U39" s="5"/>
      <c r="V39" s="184"/>
      <c r="W39" s="25" t="s">
        <v>229</v>
      </c>
      <c r="X39" s="3" t="str">
        <f>IF(Table82738[[#This Row],[Course]]= "","",IFERROR(VLOOKUP(Table82738[[#This Row],[Course]],COURSELIST[],2,FALSE),"Course Not Found!"))</f>
        <v>Project Management</v>
      </c>
      <c r="Y39" s="3" t="str">
        <f>IF(Table82738[[#This Row],[Course]]= "","",IFERROR(VLOOKUP(Table82738[[#This Row],[Course]],COURSELIST[],3,FALSE),""))</f>
        <v>IT</v>
      </c>
      <c r="Z39" s="3">
        <f>IF(Table82738[[#This Row],[Course]]= "","",IFERROR(VLOOKUP(Table82738[[#This Row],[Course]],COURSELIST[],4,FALSE),""))</f>
        <v>3</v>
      </c>
      <c r="AB39" s="3" t="str">
        <f>IF(Table82738[[#This Row],[Course]]= "","",IFERROR(VLOOKUP(Table82738[[#This Row],[Course]],COURSELIST[],6,FALSE),""))</f>
        <v>n</v>
      </c>
      <c r="AC39" s="3" t="str">
        <f>IF(Table82738[[#This Row],[Course]]= "","",IFERROR(VLOOKUP(Table82738[[#This Row],[Course]],COURSELIST[],7,FALSE),""))</f>
        <v>n</v>
      </c>
      <c r="AD39" s="3">
        <f>IF(Table82738[[#This Row],[Course]]= "","",IFERROR(VLOOKUP(Table82738[[#This Row],[Course]],COURSELIST[],8,FALSE),""))</f>
        <v>0</v>
      </c>
      <c r="AF39" s="184"/>
      <c r="AG39" s="28"/>
      <c r="AH39" s="3" t="str">
        <f>IF(Table92839495253[[#This Row],[Course]]= "","",IFERROR(VLOOKUP(Table92839495253[[#This Row],[Course]],COURSELIST[],2,FALSE),"Course Not Found!"))</f>
        <v/>
      </c>
      <c r="AI39" s="3" t="str">
        <f>IF(Table92839495253[[#This Row],[Course]]= "","",IFERROR(VLOOKUP(Table92839495253[[#This Row],[Course]],COURSELIST[],3,FALSE),""))</f>
        <v/>
      </c>
      <c r="AJ39" s="3" t="str">
        <f>IF(Table92839495253[[#This Row],[Course]]= "","",IFERROR(VLOOKUP(Table92839495253[[#This Row],[Course]],COURSELIST[],4,FALSE),""))</f>
        <v/>
      </c>
      <c r="AL39" s="3" t="str">
        <f>IF(Table92839495253[[#This Row],[Course]]= "","",IFERROR(VLOOKUP(Table92839495253[[#This Row],[Course]],COURSELIST[],6,FALSE),""))</f>
        <v/>
      </c>
      <c r="AM39" s="3" t="str">
        <f>IF(Table92839495253[[#This Row],[Course]]= "","",IFERROR(VLOOKUP(Table92839495253[[#This Row],[Course]],COURSELIST[],7,FALSE),""))</f>
        <v/>
      </c>
      <c r="AN39" s="3" t="str">
        <f>IF(Table92839495253[[#This Row],[Course]]= "","",IFERROR(VLOOKUP(Table92839495253[[#This Row],[Course]],COURSELIST[],8,FALSE),""))</f>
        <v/>
      </c>
    </row>
    <row r="40" spans="1:40" outlineLevel="1">
      <c r="C40" s="5"/>
      <c r="D40" s="5"/>
      <c r="E40" s="3" t="s">
        <v>10</v>
      </c>
      <c r="F40" s="3">
        <f>SUM(F33:F39)</f>
        <v>12</v>
      </c>
      <c r="I40" s="3" t="s">
        <v>27</v>
      </c>
      <c r="J40" s="3">
        <f>SUM(J33:J39)</f>
        <v>0</v>
      </c>
      <c r="O40" s="3" t="s">
        <v>10</v>
      </c>
      <c r="P40" s="3">
        <f>SUM(P33:P39)</f>
        <v>3</v>
      </c>
      <c r="S40" s="3" t="s">
        <v>27</v>
      </c>
      <c r="T40" s="3">
        <f>SUM(T33:T39)</f>
        <v>0</v>
      </c>
      <c r="Y40" s="3" t="s">
        <v>10</v>
      </c>
      <c r="Z40" s="3">
        <f>SUM(Z33:Z39)</f>
        <v>18</v>
      </c>
      <c r="AC40" s="3" t="s">
        <v>27</v>
      </c>
      <c r="AD40" s="3">
        <f>SUM(AD33:AD39)</f>
        <v>0</v>
      </c>
      <c r="AI40" s="3" t="s">
        <v>10</v>
      </c>
      <c r="AJ40" s="3">
        <f>SUM(AJ33:AJ39)</f>
        <v>6</v>
      </c>
      <c r="AM40" s="3" t="s">
        <v>27</v>
      </c>
      <c r="AN40" s="3">
        <f>SUM(AN33:AN39)</f>
        <v>0</v>
      </c>
    </row>
    <row r="41" spans="1:40" outlineLevel="1">
      <c r="E41" s="3" t="s">
        <v>18</v>
      </c>
      <c r="F41" s="3">
        <f>F40+AJ27+3</f>
        <v>98</v>
      </c>
      <c r="I41" s="3" t="s">
        <v>17</v>
      </c>
      <c r="J41" s="3">
        <f>J40+AN27</f>
        <v>238.58</v>
      </c>
      <c r="O41" s="3" t="s">
        <v>18</v>
      </c>
      <c r="P41" s="3">
        <f>P40+F41</f>
        <v>101</v>
      </c>
      <c r="S41" s="3" t="s">
        <v>17</v>
      </c>
      <c r="T41" s="3">
        <f>T40+J41</f>
        <v>238.58</v>
      </c>
      <c r="Y41" s="3" t="s">
        <v>18</v>
      </c>
      <c r="Z41" s="3">
        <f>Z40+P41</f>
        <v>119</v>
      </c>
      <c r="AC41" s="3" t="s">
        <v>17</v>
      </c>
      <c r="AD41" s="3">
        <f>AD40+T41</f>
        <v>238.58</v>
      </c>
      <c r="AI41" s="3" t="s">
        <v>18</v>
      </c>
      <c r="AJ41" s="3">
        <f>AJ40+Z41</f>
        <v>125</v>
      </c>
      <c r="AM41" s="3" t="s">
        <v>17</v>
      </c>
      <c r="AN41" s="3">
        <f>AN40+AD41</f>
        <v>238.58</v>
      </c>
    </row>
    <row r="42" spans="1:40" s="23" customFormat="1" ht="21" outlineLevel="1">
      <c r="C42" s="3"/>
      <c r="D42" s="3"/>
      <c r="E42" s="5" t="s">
        <v>19</v>
      </c>
      <c r="F42" s="5">
        <f>F40+AJ28</f>
        <v>84</v>
      </c>
      <c r="G42" s="5"/>
      <c r="H42" s="3"/>
      <c r="I42" s="3" t="s">
        <v>14</v>
      </c>
      <c r="J42" s="3">
        <f>J40/F40</f>
        <v>0</v>
      </c>
      <c r="M42" s="3"/>
      <c r="N42" s="3"/>
      <c r="O42" s="5" t="s">
        <v>19</v>
      </c>
      <c r="P42" s="5">
        <f>P40+F42</f>
        <v>87</v>
      </c>
      <c r="Q42" s="5"/>
      <c r="S42" s="3" t="s">
        <v>14</v>
      </c>
      <c r="T42" s="3">
        <f>T40/P40</f>
        <v>0</v>
      </c>
      <c r="W42" s="5"/>
      <c r="X42" s="5"/>
      <c r="Y42" s="5" t="s">
        <v>19</v>
      </c>
      <c r="Z42" s="5">
        <f>Z40+P42</f>
        <v>105</v>
      </c>
      <c r="AA42" s="5"/>
      <c r="AB42" s="3"/>
      <c r="AC42" s="3" t="s">
        <v>14</v>
      </c>
      <c r="AD42" s="3">
        <f>AD40/Z40</f>
        <v>0</v>
      </c>
      <c r="AG42" s="5"/>
      <c r="AH42" s="5"/>
      <c r="AI42" s="5" t="s">
        <v>19</v>
      </c>
      <c r="AJ42" s="5">
        <f>AJ40+Z42</f>
        <v>111</v>
      </c>
      <c r="AK42" s="5"/>
      <c r="AL42" s="3"/>
      <c r="AM42" s="3" t="s">
        <v>14</v>
      </c>
      <c r="AN42" s="3">
        <f>AN40/AJ40</f>
        <v>0</v>
      </c>
    </row>
    <row r="43" spans="1:40" ht="21.75" outlineLevel="1" thickBot="1">
      <c r="H43" s="23"/>
      <c r="I43" s="5" t="s">
        <v>16</v>
      </c>
      <c r="J43" s="5">
        <f>J41/F42</f>
        <v>2.8402380952380955</v>
      </c>
      <c r="M43" s="5"/>
      <c r="N43" s="5"/>
      <c r="S43" s="5" t="s">
        <v>16</v>
      </c>
      <c r="T43" s="5">
        <f>T41/P42</f>
        <v>2.7422988505747128</v>
      </c>
      <c r="AC43" s="5" t="s">
        <v>16</v>
      </c>
      <c r="AD43" s="5">
        <f>AD41/Z42</f>
        <v>2.2721904761904761</v>
      </c>
      <c r="AM43" s="5" t="s">
        <v>16</v>
      </c>
      <c r="AN43" s="5">
        <f>AN41/AJ42</f>
        <v>2.1493693693693694</v>
      </c>
    </row>
    <row r="44" spans="1:40" ht="21.75" thickBot="1">
      <c r="A44" s="87" t="s">
        <v>91</v>
      </c>
      <c r="D44" s="37"/>
      <c r="J44" s="23"/>
    </row>
    <row r="45" spans="1:40" ht="23.25" customHeight="1" outlineLevel="1" thickBot="1">
      <c r="B45" s="184" t="s">
        <v>597</v>
      </c>
      <c r="C45" s="190" t="s">
        <v>5</v>
      </c>
      <c r="D45" s="191"/>
      <c r="E45" s="192"/>
      <c r="F45" s="193" t="str">
        <f>GradeStatus(Z41)&amp;"--"&amp;Z41&amp;" Credits "&amp;F55&amp;" In Progress"</f>
        <v>Senior--119 Credits 143 In Progress</v>
      </c>
      <c r="G45" s="194"/>
      <c r="H45" s="194"/>
      <c r="I45" s="194"/>
      <c r="J45" s="194"/>
      <c r="L45" s="184" t="s">
        <v>94</v>
      </c>
      <c r="M45" s="195" t="s">
        <v>23</v>
      </c>
      <c r="N45" s="196"/>
      <c r="O45" s="197"/>
      <c r="P45" s="182" t="str">
        <f>GradeStatus(F55)&amp;"--"&amp;F55&amp;" Credits "&amp;P55&amp;" In Progress"</f>
        <v>Senior--143 Credits 146 In Progress</v>
      </c>
      <c r="Q45" s="183"/>
      <c r="R45" s="183"/>
      <c r="S45" s="183"/>
      <c r="T45" s="183"/>
      <c r="V45" s="184" t="s">
        <v>95</v>
      </c>
      <c r="W45" s="185" t="s">
        <v>22</v>
      </c>
      <c r="X45" s="186"/>
      <c r="Y45" s="187"/>
      <c r="Z45" s="188" t="str">
        <f>GradeStatus(P55)&amp;"--"&amp;P55&amp;" Credits "&amp;Z55&amp;" In Progress"</f>
        <v>Senior--146 Credits 167 In Progress</v>
      </c>
      <c r="AA45" s="189"/>
      <c r="AB45" s="189"/>
      <c r="AC45" s="189"/>
      <c r="AD45" s="189"/>
      <c r="AF45" s="184" t="s">
        <v>96</v>
      </c>
      <c r="AG45" s="177" t="s">
        <v>54</v>
      </c>
      <c r="AH45" s="178"/>
      <c r="AI45" s="179"/>
      <c r="AJ45" s="180" t="str">
        <f>GradeStatus(Z55)&amp;"--"&amp;Z55&amp;" Credits "&amp;AJ55&amp;" In Progress"</f>
        <v>Senior--167 Credits 167 In Progress</v>
      </c>
      <c r="AK45" s="181"/>
      <c r="AL45" s="181"/>
      <c r="AM45" s="181"/>
      <c r="AN45" s="181"/>
    </row>
    <row r="46" spans="1:40" ht="15.75" outlineLevel="1" thickBot="1">
      <c r="B46" s="184"/>
      <c r="C46" s="3" t="s">
        <v>20</v>
      </c>
      <c r="D46" s="3" t="s">
        <v>24</v>
      </c>
      <c r="E46" s="3" t="s">
        <v>25</v>
      </c>
      <c r="F46" s="3" t="s">
        <v>10</v>
      </c>
      <c r="G46" s="3" t="s">
        <v>26</v>
      </c>
      <c r="H46" s="3" t="s">
        <v>12</v>
      </c>
      <c r="I46" s="3" t="s">
        <v>36</v>
      </c>
      <c r="J46" s="3" t="s">
        <v>28</v>
      </c>
      <c r="L46" s="184"/>
      <c r="M46" s="3" t="s">
        <v>20</v>
      </c>
      <c r="N46" s="3" t="s">
        <v>24</v>
      </c>
      <c r="O46" s="3" t="s">
        <v>25</v>
      </c>
      <c r="P46" s="3" t="s">
        <v>10</v>
      </c>
      <c r="Q46" s="3" t="s">
        <v>26</v>
      </c>
      <c r="R46" s="3" t="s">
        <v>12</v>
      </c>
      <c r="S46" s="3" t="s">
        <v>36</v>
      </c>
      <c r="T46" s="3" t="s">
        <v>28</v>
      </c>
      <c r="V46" s="184"/>
      <c r="W46" s="3" t="s">
        <v>20</v>
      </c>
      <c r="X46" s="3" t="s">
        <v>24</v>
      </c>
      <c r="Y46" s="3" t="s">
        <v>25</v>
      </c>
      <c r="Z46" s="3" t="s">
        <v>10</v>
      </c>
      <c r="AA46" s="3" t="s">
        <v>26</v>
      </c>
      <c r="AB46" s="3" t="s">
        <v>12</v>
      </c>
      <c r="AC46" s="3" t="s">
        <v>36</v>
      </c>
      <c r="AD46" s="3" t="s">
        <v>28</v>
      </c>
      <c r="AF46" s="184"/>
      <c r="AG46" s="3" t="s">
        <v>20</v>
      </c>
      <c r="AH46" s="3" t="s">
        <v>24</v>
      </c>
      <c r="AI46" s="3" t="s">
        <v>25</v>
      </c>
      <c r="AJ46" s="3" t="s">
        <v>10</v>
      </c>
      <c r="AK46" s="3" t="s">
        <v>26</v>
      </c>
      <c r="AL46" s="3" t="s">
        <v>12</v>
      </c>
      <c r="AM46" s="3" t="s">
        <v>36</v>
      </c>
      <c r="AN46" s="3" t="s">
        <v>28</v>
      </c>
    </row>
    <row r="47" spans="1:40" ht="15.75" outlineLevel="1" thickBot="1">
      <c r="B47" s="184"/>
      <c r="C47" s="16" t="s">
        <v>161</v>
      </c>
      <c r="D47" s="3" t="str">
        <f>IF(Table32221[[#This Row],[Course]]= "","",IFERROR(VLOOKUP(Table32221[[#This Row],[Course]],COURSELIST[],2,FALSE),"Course Not Found!"))</f>
        <v>FALL ONLY! COMPUTER ORGANIZATION AND SYSTEM PROGRAMMING</v>
      </c>
      <c r="E47" s="3" t="str">
        <f>IF(Table32221[[#This Row],[Course]]= "","",IFERROR(VLOOKUP(Table32221[[#This Row],[Course]],COURSELIST[],3,FALSE),""))</f>
        <v>CompSci</v>
      </c>
      <c r="F47" s="3">
        <f>IF(Table32221[[#This Row],[Course]]= "","",IFERROR(VLOOKUP(Table32221[[#This Row],[Course]],COURSELIST[],4,FALSE),""))</f>
        <v>3</v>
      </c>
      <c r="H47" s="3" t="str">
        <f>IF(Table32221[[#This Row],[Course]]= "","",IFERROR(VLOOKUP(Table32221[[#This Row],[Course]],COURSELIST[],6,FALSE),""))</f>
        <v>n</v>
      </c>
      <c r="I47" s="3" t="str">
        <f>IF(Table32221[[#This Row],[Course]]= "","",IFERROR(VLOOKUP(Table32221[[#This Row],[Course]],COURSELIST[],7,FALSE),""))</f>
        <v>n</v>
      </c>
      <c r="J47" s="3">
        <f>IF(Table32221[[#This Row],[Course]]= "","",IFERROR(VLOOKUP(Table32221[[#This Row],[Course]],COURSELIST[],8,FALSE),""))</f>
        <v>0</v>
      </c>
      <c r="L47" s="184"/>
      <c r="M47" s="97" t="s">
        <v>214</v>
      </c>
      <c r="N47" s="3" t="str">
        <f>IF(Table143344[[#This Row],[Course]]= "","",IFERROR(VLOOKUP(Table143344[[#This Row],[Course]],COURSELIST[],2,FALSE),"Course Not Found!"))</f>
        <v>SW15 Sr Level</v>
      </c>
      <c r="O47" s="3" t="str">
        <f>IF(Table143344[[#This Row],[Course]]= "","",IFERROR(VLOOKUP(Table143344[[#This Row],[Course]],COURSELIST[],3,FALSE),""))</f>
        <v>IT</v>
      </c>
      <c r="P47" s="3">
        <f>IF(Table143344[[#This Row],[Course]]= "","",IFERROR(VLOOKUP(Table143344[[#This Row],[Course]],COURSELIST[],4,FALSE),""))</f>
        <v>3</v>
      </c>
      <c r="R47" s="3" t="str">
        <f>IF(Table143344[[#This Row],[Course]]= "","",IFERROR(VLOOKUP(Table143344[[#This Row],[Course]],COURSELIST[],6,FALSE),""))</f>
        <v>n</v>
      </c>
      <c r="S47" s="3" t="str">
        <f>IF(Table143344[[#This Row],[Course]]= "","",IFERROR(VLOOKUP(Table143344[[#This Row],[Course]],COURSELIST[],7,FALSE),""))</f>
        <v>n</v>
      </c>
      <c r="T47" s="3">
        <f>IF(Table143344[[#This Row],[Course]]= "","",IFERROR(VLOOKUP(Table143344[[#This Row],[Course]],COURSELIST[],8,FALSE),""))</f>
        <v>0</v>
      </c>
      <c r="V47" s="184"/>
      <c r="W47" s="96" t="s">
        <v>206</v>
      </c>
      <c r="X47" s="3" t="str">
        <f>IF(Table92839[[#This Row],[Course]]= "","",IFERROR(VLOOKUP(Table92839[[#This Row],[Course]],COURSELIST[],2,FALSE),"Course Not Found!"))</f>
        <v>300 Level CS course 3 out of 11 elective units</v>
      </c>
      <c r="Y47" s="3" t="str">
        <f>IF(Table92839[[#This Row],[Course]]= "","",IFERROR(VLOOKUP(Table92839[[#This Row],[Course]],COURSELIST[],3,FALSE),""))</f>
        <v>CompSci</v>
      </c>
      <c r="Z47" s="3">
        <f>IF(Table92839[[#This Row],[Course]]= "","",IFERROR(VLOOKUP(Table92839[[#This Row],[Course]],COURSELIST[],4,FALSE),""))</f>
        <v>3</v>
      </c>
      <c r="AB47" s="3" t="str">
        <f>IF(Table92839[[#This Row],[Course]]= "","",IFERROR(VLOOKUP(Table92839[[#This Row],[Course]],COURSELIST[],6,FALSE),""))</f>
        <v>n</v>
      </c>
      <c r="AC47" s="3" t="str">
        <f>IF(Table92839[[#This Row],[Course]]= "","",IFERROR(VLOOKUP(Table92839[[#This Row],[Course]],COURSELIST[],7,FALSE),""))</f>
        <v>n</v>
      </c>
      <c r="AD47" s="3">
        <f>IF(Table92839[[#This Row],[Course]]= "","",IFERROR(VLOOKUP(Table92839[[#This Row],[Course]],COURSELIST[],8,FALSE),""))</f>
        <v>0</v>
      </c>
      <c r="AF47" s="184"/>
      <c r="AG47" s="25"/>
      <c r="AH47" s="3" t="str">
        <f>IF(Table928394952[[#This Row],[Course]]= "","",IFERROR(VLOOKUP(Table928394952[[#This Row],[Course]],COURSELIST[],2,FALSE),"Course Not Found!"))</f>
        <v/>
      </c>
      <c r="AI47" s="3" t="str">
        <f>IF(Table928394952[[#This Row],[Course]]= "","",IFERROR(VLOOKUP(Table928394952[[#This Row],[Course]],COURSELIST[],3,FALSE),""))</f>
        <v/>
      </c>
      <c r="AJ47" s="3" t="str">
        <f>IF(Table928394952[[#This Row],[Course]]= "","",IFERROR(VLOOKUP(Table928394952[[#This Row],[Course]],COURSELIST[],4,FALSE),""))</f>
        <v/>
      </c>
      <c r="AL47" s="3" t="str">
        <f>IF(Table928394952[[#This Row],[Course]]= "","",IFERROR(VLOOKUP(Table928394952[[#This Row],[Course]],COURSELIST[],6,FALSE),""))</f>
        <v/>
      </c>
      <c r="AM47" s="3" t="str">
        <f>IF(Table928394952[[#This Row],[Course]]= "","",IFERROR(VLOOKUP(Table928394952[[#This Row],[Course]],COURSELIST[],7,FALSE),""))</f>
        <v/>
      </c>
      <c r="AN47" s="3" t="str">
        <f>IF(Table928394952[[#This Row],[Course]]= "","",IFERROR(VLOOKUP(Table928394952[[#This Row],[Course]],COURSELIST[],8,FALSE),""))</f>
        <v/>
      </c>
    </row>
    <row r="48" spans="1:40" ht="15.75" outlineLevel="1" thickBot="1">
      <c r="B48" s="184"/>
      <c r="C48" s="25" t="s">
        <v>163</v>
      </c>
      <c r="D48" s="3" t="str">
        <f>IF(Table32221[[#This Row],[Course]]= "","",IFERROR(VLOOKUP(Table32221[[#This Row],[Course]],COURSELIST[],2,FALSE),"Course Not Found!"))</f>
        <v>FALL ONLY CompSci 320 Concepts of Programming Languages</v>
      </c>
      <c r="E48" s="3" t="str">
        <f>IF(Table32221[[#This Row],[Course]]= "","",IFERROR(VLOOKUP(Table32221[[#This Row],[Course]],COURSELIST[],3,FALSE),""))</f>
        <v>CompSci</v>
      </c>
      <c r="F48" s="3">
        <f>IF(Table32221[[#This Row],[Course]]= "","",IFERROR(VLOOKUP(Table32221[[#This Row],[Course]],COURSELIST[],4,FALSE),""))</f>
        <v>3</v>
      </c>
      <c r="H48" s="3" t="str">
        <f>IF(Table32221[[#This Row],[Course]]= "","",IFERROR(VLOOKUP(Table32221[[#This Row],[Course]],COURSELIST[],6,FALSE),""))</f>
        <v>n</v>
      </c>
      <c r="I48" s="3" t="str">
        <f>IF(Table32221[[#This Row],[Course]]= "","",IFERROR(VLOOKUP(Table32221[[#This Row],[Course]],COURSELIST[],7,FALSE),""))</f>
        <v>n</v>
      </c>
      <c r="J48" s="3">
        <f>IF(Table32221[[#This Row],[Course]]= "","",IFERROR(VLOOKUP(Table32221[[#This Row],[Course]],COURSELIST[],8,FALSE),""))</f>
        <v>0</v>
      </c>
      <c r="K48" s="5"/>
      <c r="L48" s="184"/>
      <c r="M48" s="25"/>
      <c r="N48" s="3" t="str">
        <f>IF(Table143344[[#This Row],[Course]]= "","",IFERROR(VLOOKUP(Table143344[[#This Row],[Course]],COURSELIST[],2,FALSE),"Course Not Found!"))</f>
        <v/>
      </c>
      <c r="O48" s="3" t="str">
        <f>IF(Table143344[[#This Row],[Course]]= "","",IFERROR(VLOOKUP(Table143344[[#This Row],[Course]],COURSELIST[],3,FALSE),""))</f>
        <v/>
      </c>
      <c r="P48" s="3" t="str">
        <f>IF(Table143344[[#This Row],[Course]]= "","",IFERROR(VLOOKUP(Table143344[[#This Row],[Course]],COURSELIST[],4,FALSE),""))</f>
        <v/>
      </c>
      <c r="R48" s="3" t="str">
        <f>IF(Table143344[[#This Row],[Course]]= "","",IFERROR(VLOOKUP(Table143344[[#This Row],[Course]],COURSELIST[],6,FALSE),""))</f>
        <v/>
      </c>
      <c r="S48" s="3" t="str">
        <f>IF(Table143344[[#This Row],[Course]]= "","",IFERROR(VLOOKUP(Table143344[[#This Row],[Course]],COURSELIST[],7,FALSE),""))</f>
        <v/>
      </c>
      <c r="T48" s="3" t="str">
        <f>IF(Table143344[[#This Row],[Course]]= "","",IFERROR(VLOOKUP(Table143344[[#This Row],[Course]],COURSELIST[],8,FALSE),""))</f>
        <v/>
      </c>
      <c r="U48" s="5"/>
      <c r="V48" s="184"/>
      <c r="W48" s="16" t="s">
        <v>203</v>
      </c>
      <c r="X48" s="3" t="str">
        <f>IF(Table92839[[#This Row],[Course]]= "","",IFERROR(VLOOKUP(Table92839[[#This Row],[Course]],COURSELIST[],2,FALSE),"Course Not Found!"))</f>
        <v>ITSCM 380 Business Intelliegence</v>
      </c>
      <c r="Y48" s="3" t="str">
        <f>IF(Table92839[[#This Row],[Course]]= "","",IFERROR(VLOOKUP(Table92839[[#This Row],[Course]],COURSELIST[],3,FALSE),""))</f>
        <v>IT</v>
      </c>
      <c r="Z48" s="3">
        <f>IF(Table92839[[#This Row],[Course]]= "","",IFERROR(VLOOKUP(Table92839[[#This Row],[Course]],COURSELIST[],4,FALSE),""))</f>
        <v>3</v>
      </c>
      <c r="AB48" s="3" t="str">
        <f>IF(Table92839[[#This Row],[Course]]= "","",IFERROR(VLOOKUP(Table92839[[#This Row],[Course]],COURSELIST[],6,FALSE),""))</f>
        <v>n</v>
      </c>
      <c r="AC48" s="3" t="str">
        <f>IF(Table92839[[#This Row],[Course]]= "","",IFERROR(VLOOKUP(Table92839[[#This Row],[Course]],COURSELIST[],7,FALSE),""))</f>
        <v>n</v>
      </c>
      <c r="AD48" s="3">
        <f>IF(Table92839[[#This Row],[Course]]= "","",IFERROR(VLOOKUP(Table92839[[#This Row],[Course]],COURSELIST[],8,FALSE),""))</f>
        <v>0</v>
      </c>
      <c r="AF48" s="184"/>
      <c r="AG48" s="25"/>
      <c r="AH48" s="3" t="str">
        <f>IF(Table928394952[[#This Row],[Course]]= "","",IFERROR(VLOOKUP(Table928394952[[#This Row],[Course]],COURSELIST[],2,FALSE),"Course Not Found!"))</f>
        <v/>
      </c>
      <c r="AI48" s="3" t="str">
        <f>IF(Table928394952[[#This Row],[Course]]= "","",IFERROR(VLOOKUP(Table928394952[[#This Row],[Course]],COURSELIST[],3,FALSE),""))</f>
        <v/>
      </c>
      <c r="AJ48" s="3" t="str">
        <f>IF(Table928394952[[#This Row],[Course]]= "","",IFERROR(VLOOKUP(Table928394952[[#This Row],[Course]],COURSELIST[],4,FALSE),""))</f>
        <v/>
      </c>
      <c r="AL48" s="3" t="str">
        <f>IF(Table928394952[[#This Row],[Course]]= "","",IFERROR(VLOOKUP(Table928394952[[#This Row],[Course]],COURSELIST[],6,FALSE),""))</f>
        <v/>
      </c>
      <c r="AM48" s="3" t="str">
        <f>IF(Table928394952[[#This Row],[Course]]= "","",IFERROR(VLOOKUP(Table928394952[[#This Row],[Course]],COURSELIST[],7,FALSE),""))</f>
        <v/>
      </c>
      <c r="AN48" s="3" t="str">
        <f>IF(Table928394952[[#This Row],[Course]]= "","",IFERROR(VLOOKUP(Table928394952[[#This Row],[Course]],COURSELIST[],8,FALSE),""))</f>
        <v/>
      </c>
    </row>
    <row r="49" spans="1:40" ht="15.75" outlineLevel="1" thickBot="1">
      <c r="B49" s="184"/>
      <c r="C49" s="96" t="s">
        <v>208</v>
      </c>
      <c r="D49" s="3" t="str">
        <f>IF(Table32221[[#This Row],[Course]]= "","",IFERROR(VLOOKUP(Table32221[[#This Row],[Course]],COURSELIST[],2,FALSE),"Course Not Found!"))</f>
        <v>FALL ONLY! CompSci 481 Web and unix admin</v>
      </c>
      <c r="E49" s="3" t="str">
        <f>IF(Table32221[[#This Row],[Course]]= "","",IFERROR(VLOOKUP(Table32221[[#This Row],[Course]],COURSELIST[],3,FALSE),""))</f>
        <v>CompSci</v>
      </c>
      <c r="F49" s="3">
        <f>IF(Table32221[[#This Row],[Course]]= "","",IFERROR(VLOOKUP(Table32221[[#This Row],[Course]],COURSELIST[],4,FALSE),""))</f>
        <v>3</v>
      </c>
      <c r="H49" s="3" t="str">
        <f>IF(Table32221[[#This Row],[Course]]= "","",IFERROR(VLOOKUP(Table32221[[#This Row],[Course]],COURSELIST[],6,FALSE),""))</f>
        <v>n</v>
      </c>
      <c r="I49" s="3" t="str">
        <f>IF(Table32221[[#This Row],[Course]]= "","",IFERROR(VLOOKUP(Table32221[[#This Row],[Course]],COURSELIST[],7,FALSE),""))</f>
        <v>n</v>
      </c>
      <c r="J49" s="3">
        <f>IF(Table32221[[#This Row],[Course]]= "","",IFERROR(VLOOKUP(Table32221[[#This Row],[Course]],COURSELIST[],8,FALSE),""))</f>
        <v>0</v>
      </c>
      <c r="L49" s="184"/>
      <c r="M49" s="25"/>
      <c r="N49" s="3" t="str">
        <f>IF(Table143344[[#This Row],[Course]]= "","",IFERROR(VLOOKUP(Table143344[[#This Row],[Course]],COURSELIST[],2,FALSE),"Course Not Found!"))</f>
        <v/>
      </c>
      <c r="O49" s="3" t="str">
        <f>IF(Table143344[[#This Row],[Course]]= "","",IFERROR(VLOOKUP(Table143344[[#This Row],[Course]],COURSELIST[],3,FALSE),""))</f>
        <v/>
      </c>
      <c r="P49" s="3" t="str">
        <f>IF(Table143344[[#This Row],[Course]]= "","",IFERROR(VLOOKUP(Table143344[[#This Row],[Course]],COURSELIST[],4,FALSE),""))</f>
        <v/>
      </c>
      <c r="R49" s="3" t="str">
        <f>IF(Table143344[[#This Row],[Course]]= "","",IFERROR(VLOOKUP(Table143344[[#This Row],[Course]],COURSELIST[],6,FALSE),""))</f>
        <v/>
      </c>
      <c r="S49" s="3" t="str">
        <f>IF(Table143344[[#This Row],[Course]]= "","",IFERROR(VLOOKUP(Table143344[[#This Row],[Course]],COURSELIST[],7,FALSE),""))</f>
        <v/>
      </c>
      <c r="T49" s="3" t="str">
        <f>IF(Table143344[[#This Row],[Course]]= "","",IFERROR(VLOOKUP(Table143344[[#This Row],[Course]],COURSELIST[],8,FALSE),""))</f>
        <v/>
      </c>
      <c r="V49" s="184"/>
      <c r="W49" s="16" t="s">
        <v>211</v>
      </c>
      <c r="X49" s="3" t="str">
        <f>IF(Table92839[[#This Row],[Course]]= "","",IFERROR(VLOOKUP(Table92839[[#This Row],[Course]],COURSELIST[],2,FALSE),"Course Not Found!"))</f>
        <v>Managing Information Technology Systems</v>
      </c>
      <c r="Y49" s="3" t="str">
        <f>IF(Table92839[[#This Row],[Course]]= "","",IFERROR(VLOOKUP(Table92839[[#This Row],[Course]],COURSELIST[],3,FALSE),""))</f>
        <v>IT</v>
      </c>
      <c r="Z49" s="3">
        <f>IF(Table92839[[#This Row],[Course]]= "","",IFERROR(VLOOKUP(Table92839[[#This Row],[Course]],COURSELIST[],4,FALSE),""))</f>
        <v>3</v>
      </c>
      <c r="AB49" s="3" t="str">
        <f>IF(Table92839[[#This Row],[Course]]= "","",IFERROR(VLOOKUP(Table92839[[#This Row],[Course]],COURSELIST[],6,FALSE),""))</f>
        <v>n</v>
      </c>
      <c r="AC49" s="3" t="str">
        <f>IF(Table92839[[#This Row],[Course]]= "","",IFERROR(VLOOKUP(Table92839[[#This Row],[Course]],COURSELIST[],7,FALSE),""))</f>
        <v>n</v>
      </c>
      <c r="AD49" s="3">
        <f>IF(Table92839[[#This Row],[Course]]= "","",IFERROR(VLOOKUP(Table92839[[#This Row],[Course]],COURSELIST[],8,FALSE),""))</f>
        <v>0</v>
      </c>
      <c r="AF49" s="184"/>
      <c r="AG49" s="16"/>
      <c r="AH49" s="3" t="str">
        <f>IF(Table928394952[[#This Row],[Course]]= "","",IFERROR(VLOOKUP(Table928394952[[#This Row],[Course]],COURSELIST[],2,FALSE),"Course Not Found!"))</f>
        <v/>
      </c>
      <c r="AI49" s="3" t="str">
        <f>IF(Table928394952[[#This Row],[Course]]= "","",IFERROR(VLOOKUP(Table928394952[[#This Row],[Course]],COURSELIST[],3,FALSE),""))</f>
        <v/>
      </c>
      <c r="AJ49" s="3" t="str">
        <f>IF(Table928394952[[#This Row],[Course]]= "","",IFERROR(VLOOKUP(Table928394952[[#This Row],[Course]],COURSELIST[],4,FALSE),""))</f>
        <v/>
      </c>
      <c r="AL49" s="3" t="str">
        <f>IF(Table928394952[[#This Row],[Course]]= "","",IFERROR(VLOOKUP(Table928394952[[#This Row],[Course]],COURSELIST[],6,FALSE),""))</f>
        <v/>
      </c>
      <c r="AM49" s="3" t="str">
        <f>IF(Table928394952[[#This Row],[Course]]= "","",IFERROR(VLOOKUP(Table928394952[[#This Row],[Course]],COURSELIST[],7,FALSE),""))</f>
        <v/>
      </c>
      <c r="AN49" s="3" t="str">
        <f>IF(Table928394952[[#This Row],[Course]]= "","",IFERROR(VLOOKUP(Table928394952[[#This Row],[Course]],COURSELIST[],8,FALSE),""))</f>
        <v/>
      </c>
    </row>
    <row r="50" spans="1:40" ht="15.75" outlineLevel="1" thickBot="1">
      <c r="B50" s="184"/>
      <c r="C50" s="25" t="s">
        <v>195</v>
      </c>
      <c r="D50" s="3" t="str">
        <f>IF(Table32221[[#This Row],[Course]]= "","",IFERROR(VLOOKUP(Table32221[[#This Row],[Course]],COURSELIST[],2,FALSE),"Course Not Found!"))</f>
        <v>ITSCM 310 Enterprise Systems &amp; Business Process Integration--Business Analysis Emph</v>
      </c>
      <c r="E50" s="3" t="str">
        <f>IF(Table32221[[#This Row],[Course]]= "","",IFERROR(VLOOKUP(Table32221[[#This Row],[Course]],COURSELIST[],3,FALSE),""))</f>
        <v>IT</v>
      </c>
      <c r="F50" s="3">
        <f>IF(Table32221[[#This Row],[Course]]= "","",IFERROR(VLOOKUP(Table32221[[#This Row],[Course]],COURSELIST[],4,FALSE),""))</f>
        <v>3</v>
      </c>
      <c r="H50" s="3" t="str">
        <f>IF(Table32221[[#This Row],[Course]]= "","",IFERROR(VLOOKUP(Table32221[[#This Row],[Course]],COURSELIST[],6,FALSE),""))</f>
        <v>n</v>
      </c>
      <c r="I50" s="3" t="str">
        <f>IF(Table32221[[#This Row],[Course]]= "","",IFERROR(VLOOKUP(Table32221[[#This Row],[Course]],COURSELIST[],7,FALSE),""))</f>
        <v>n</v>
      </c>
      <c r="J50" s="3">
        <f>IF(Table32221[[#This Row],[Course]]= "","",IFERROR(VLOOKUP(Table32221[[#This Row],[Course]],COURSELIST[],8,FALSE),""))</f>
        <v>0</v>
      </c>
      <c r="L50" s="184"/>
      <c r="M50" s="25"/>
      <c r="N50" s="3" t="str">
        <f>IF(Table143344[[#This Row],[Course]]= "","",IFERROR(VLOOKUP(Table143344[[#This Row],[Course]],COURSELIST[],2,FALSE),"Course Not Found!"))</f>
        <v/>
      </c>
      <c r="O50" s="3" t="str">
        <f>IF(Table143344[[#This Row],[Course]]= "","",IFERROR(VLOOKUP(Table143344[[#This Row],[Course]],COURSELIST[],3,FALSE),""))</f>
        <v/>
      </c>
      <c r="P50" s="3" t="str">
        <f>IF(Table143344[[#This Row],[Course]]= "","",IFERROR(VLOOKUP(Table143344[[#This Row],[Course]],COURSELIST[],4,FALSE),""))</f>
        <v/>
      </c>
      <c r="R50" s="3" t="str">
        <f>IF(Table143344[[#This Row],[Course]]= "","",IFERROR(VLOOKUP(Table143344[[#This Row],[Course]],COURSELIST[],6,FALSE),""))</f>
        <v/>
      </c>
      <c r="S50" s="3" t="str">
        <f>IF(Table143344[[#This Row],[Course]]= "","",IFERROR(VLOOKUP(Table143344[[#This Row],[Course]],COURSELIST[],7,FALSE),""))</f>
        <v/>
      </c>
      <c r="T50" s="3" t="str">
        <f>IF(Table143344[[#This Row],[Course]]= "","",IFERROR(VLOOKUP(Table143344[[#This Row],[Course]],COURSELIST[],8,FALSE),""))</f>
        <v/>
      </c>
      <c r="V50" s="184"/>
      <c r="W50" s="25" t="s">
        <v>169</v>
      </c>
      <c r="X50" s="3" t="str">
        <f>IF(Table92839[[#This Row],[Course]]= "","",IFERROR(VLOOKUP(Table92839[[#This Row],[Course]],COURSELIST[],2,FALSE),"Course Not Found!"))</f>
        <v>ITSCM 320 Business Analysis -Business Analysis Emph</v>
      </c>
      <c r="Y50" s="3" t="str">
        <f>IF(Table92839[[#This Row],[Course]]= "","",IFERROR(VLOOKUP(Table92839[[#This Row],[Course]],COURSELIST[],3,FALSE),""))</f>
        <v>IT</v>
      </c>
      <c r="Z50" s="3">
        <f>IF(Table92839[[#This Row],[Course]]= "","",IFERROR(VLOOKUP(Table92839[[#This Row],[Course]],COURSELIST[],4,FALSE),""))</f>
        <v>3</v>
      </c>
      <c r="AB50" s="3" t="str">
        <f>IF(Table92839[[#This Row],[Course]]= "","",IFERROR(VLOOKUP(Table92839[[#This Row],[Course]],COURSELIST[],6,FALSE),""))</f>
        <v>n</v>
      </c>
      <c r="AC50" s="3" t="str">
        <f>IF(Table92839[[#This Row],[Course]]= "","",IFERROR(VLOOKUP(Table92839[[#This Row],[Course]],COURSELIST[],7,FALSE),""))</f>
        <v>n</v>
      </c>
      <c r="AD50" s="3">
        <f>IF(Table92839[[#This Row],[Course]]= "","",IFERROR(VLOOKUP(Table92839[[#This Row],[Course]],COURSELIST[],8,FALSE),""))</f>
        <v>0</v>
      </c>
      <c r="AF50" s="184"/>
      <c r="AG50" s="16"/>
      <c r="AH50" s="3" t="str">
        <f>IF(Table928394952[[#This Row],[Course]]= "","",IFERROR(VLOOKUP(Table928394952[[#This Row],[Course]],COURSELIST[],2,FALSE),"Course Not Found!"))</f>
        <v/>
      </c>
      <c r="AI50" s="3" t="str">
        <f>IF(Table928394952[[#This Row],[Course]]= "","",IFERROR(VLOOKUP(Table928394952[[#This Row],[Course]],COURSELIST[],3,FALSE),""))</f>
        <v/>
      </c>
      <c r="AJ50" s="3" t="str">
        <f>IF(Table928394952[[#This Row],[Course]]= "","",IFERROR(VLOOKUP(Table928394952[[#This Row],[Course]],COURSELIST[],4,FALSE),""))</f>
        <v/>
      </c>
      <c r="AL50" s="3" t="str">
        <f>IF(Table928394952[[#This Row],[Course]]= "","",IFERROR(VLOOKUP(Table928394952[[#This Row],[Course]],COURSELIST[],6,FALSE),""))</f>
        <v/>
      </c>
      <c r="AM50" s="3" t="str">
        <f>IF(Table928394952[[#This Row],[Course]]= "","",IFERROR(VLOOKUP(Table928394952[[#This Row],[Course]],COURSELIST[],7,FALSE),""))</f>
        <v/>
      </c>
      <c r="AN50" s="3" t="str">
        <f>IF(Table928394952[[#This Row],[Course]]= "","",IFERROR(VLOOKUP(Table928394952[[#This Row],[Course]],COURSELIST[],8,FALSE),""))</f>
        <v/>
      </c>
    </row>
    <row r="51" spans="1:40" ht="15.75" outlineLevel="1" thickBot="1">
      <c r="B51" s="184"/>
      <c r="C51" s="96" t="s">
        <v>171</v>
      </c>
      <c r="D51" s="3" t="str">
        <f>IF(Table32221[[#This Row],[Course]]= "","",IFERROR(VLOOKUP(Table32221[[#This Row],[Course]],COURSELIST[],2,FALSE),"Course Not Found!"))</f>
        <v>SW15 UD Operations Mngmt</v>
      </c>
      <c r="E51" s="3" t="str">
        <f>IF(Table32221[[#This Row],[Course]]= "","",IFERROR(VLOOKUP(Table32221[[#This Row],[Course]],COURSELIST[],3,FALSE),""))</f>
        <v>IT</v>
      </c>
      <c r="F51" s="3">
        <f>IF(Table32221[[#This Row],[Course]]= "","",IFERROR(VLOOKUP(Table32221[[#This Row],[Course]],COURSELIST[],4,FALSE),""))</f>
        <v>3</v>
      </c>
      <c r="H51" s="3" t="str">
        <f>IF(Table32221[[#This Row],[Course]]= "","",IFERROR(VLOOKUP(Table32221[[#This Row],[Course]],COURSELIST[],6,FALSE),""))</f>
        <v>n</v>
      </c>
      <c r="I51" s="3" t="str">
        <f>IF(Table32221[[#This Row],[Course]]= "","",IFERROR(VLOOKUP(Table32221[[#This Row],[Course]],COURSELIST[],7,FALSE),""))</f>
        <v>n</v>
      </c>
      <c r="J51" s="3">
        <f>IF(Table32221[[#This Row],[Course]]= "","",IFERROR(VLOOKUP(Table32221[[#This Row],[Course]],COURSELIST[],8,FALSE),""))</f>
        <v>0</v>
      </c>
      <c r="L51" s="184"/>
      <c r="M51" s="17"/>
      <c r="N51" s="3" t="str">
        <f>IF(Table143344[[#This Row],[Course]]= "","",IFERROR(VLOOKUP(Table143344[[#This Row],[Course]],COURSELIST[],2,FALSE),"Course Not Found!"))</f>
        <v/>
      </c>
      <c r="O51" s="3" t="str">
        <f>IF(Table143344[[#This Row],[Course]]= "","",IFERROR(VLOOKUP(Table143344[[#This Row],[Course]],COURSELIST[],3,FALSE),""))</f>
        <v/>
      </c>
      <c r="P51" s="3" t="str">
        <f>IF(Table143344[[#This Row],[Course]]= "","",IFERROR(VLOOKUP(Table143344[[#This Row],[Course]],COURSELIST[],4,FALSE),""))</f>
        <v/>
      </c>
      <c r="R51" s="3" t="str">
        <f>IF(Table143344[[#This Row],[Course]]= "","",IFERROR(VLOOKUP(Table143344[[#This Row],[Course]],COURSELIST[],6,FALSE),""))</f>
        <v/>
      </c>
      <c r="S51" s="3" t="str">
        <f>IF(Table143344[[#This Row],[Course]]= "","",IFERROR(VLOOKUP(Table143344[[#This Row],[Course]],COURSELIST[],7,FALSE),""))</f>
        <v/>
      </c>
      <c r="T51" s="5" t="str">
        <f>IF(Table143344[[#This Row],[Course]]= "","",IFERROR(VLOOKUP(Table143344[[#This Row],[Course]],COURSELIST[],8,FALSE),""))</f>
        <v/>
      </c>
      <c r="V51" s="184"/>
      <c r="W51" s="96" t="s">
        <v>690</v>
      </c>
      <c r="X51" s="3" t="str">
        <f>IF(Table92839[[#This Row],[Course]]= "","",IFERROR(VLOOKUP(Table92839[[#This Row],[Course]],COURSELIST[],2,FALSE),"Course Not Found!"))</f>
        <v>ITSCM 410 Business Process Management &amp; simulation-Business Analysis Emph</v>
      </c>
      <c r="Y51" s="3" t="str">
        <f>IF(Table92839[[#This Row],[Course]]= "","",IFERROR(VLOOKUP(Table92839[[#This Row],[Course]],COURSELIST[],3,FALSE),""))</f>
        <v>IT</v>
      </c>
      <c r="Z51" s="3">
        <f>IF(Table92839[[#This Row],[Course]]= "","",IFERROR(VLOOKUP(Table92839[[#This Row],[Course]],COURSELIST[],4,FALSE),""))</f>
        <v>3</v>
      </c>
      <c r="AB51" s="3" t="str">
        <f>IF(Table92839[[#This Row],[Course]]= "","",IFERROR(VLOOKUP(Table92839[[#This Row],[Course]],COURSELIST[],6,FALSE),""))</f>
        <v>n</v>
      </c>
      <c r="AC51" s="3" t="str">
        <f>IF(Table92839[[#This Row],[Course]]= "","",IFERROR(VLOOKUP(Table92839[[#This Row],[Course]],COURSELIST[],7,FALSE),""))</f>
        <v>n</v>
      </c>
      <c r="AD51" s="3">
        <f>IF(Table92839[[#This Row],[Course]]= "","",IFERROR(VLOOKUP(Table92839[[#This Row],[Course]],COURSELIST[],8,FALSE),""))</f>
        <v>0</v>
      </c>
      <c r="AF51" s="184"/>
      <c r="AG51" s="25"/>
      <c r="AH51" s="3" t="str">
        <f>IF(Table928394952[[#This Row],[Course]]= "","",IFERROR(VLOOKUP(Table928394952[[#This Row],[Course]],COURSELIST[],2,FALSE),"Course Not Found!"))</f>
        <v/>
      </c>
      <c r="AI51" s="3" t="str">
        <f>IF(Table928394952[[#This Row],[Course]]= "","",IFERROR(VLOOKUP(Table928394952[[#This Row],[Course]],COURSELIST[],3,FALSE),""))</f>
        <v/>
      </c>
      <c r="AJ51" s="3" t="str">
        <f>IF(Table928394952[[#This Row],[Course]]= "","",IFERROR(VLOOKUP(Table928394952[[#This Row],[Course]],COURSELIST[],4,FALSE),""))</f>
        <v/>
      </c>
      <c r="AL51" s="3" t="str">
        <f>IF(Table928394952[[#This Row],[Course]]= "","",IFERROR(VLOOKUP(Table928394952[[#This Row],[Course]],COURSELIST[],6,FALSE),""))</f>
        <v/>
      </c>
      <c r="AM51" s="3" t="str">
        <f>IF(Table928394952[[#This Row],[Course]]= "","",IFERROR(VLOOKUP(Table928394952[[#This Row],[Course]],COURSELIST[],7,FALSE),""))</f>
        <v/>
      </c>
      <c r="AN51" s="3" t="str">
        <f>IF(Table928394952[[#This Row],[Course]]= "","",IFERROR(VLOOKUP(Table928394952[[#This Row],[Course]],COURSELIST[],8,FALSE),""))</f>
        <v/>
      </c>
    </row>
    <row r="52" spans="1:40" ht="15.75" outlineLevel="1" thickBot="1">
      <c r="B52" s="184"/>
      <c r="C52" s="96"/>
      <c r="D52" s="3" t="str">
        <f>IF(Table32221[[#This Row],[Course]]= "","",IFERROR(VLOOKUP(Table32221[[#This Row],[Course]],COURSELIST[],2,FALSE),"Course Not Found!"))</f>
        <v/>
      </c>
      <c r="E52" s="3" t="str">
        <f>IF(Table32221[[#This Row],[Course]]= "","",IFERROR(VLOOKUP(Table32221[[#This Row],[Course]],COURSELIST[],3,FALSE),""))</f>
        <v/>
      </c>
      <c r="F52" s="3" t="str">
        <f>IF(Table32221[[#This Row],[Course]]= "","",IFERROR(VLOOKUP(Table32221[[#This Row],[Course]],COURSELIST[],4,FALSE),""))</f>
        <v/>
      </c>
      <c r="H52" s="3" t="str">
        <f>IF(Table32221[[#This Row],[Course]]= "","",IFERROR(VLOOKUP(Table32221[[#This Row],[Course]],COURSELIST[],6,FALSE),""))</f>
        <v/>
      </c>
      <c r="I52" s="3" t="str">
        <f>IF(Table32221[[#This Row],[Course]]= "","",IFERROR(VLOOKUP(Table32221[[#This Row],[Course]],COURSELIST[],7,FALSE),""))</f>
        <v/>
      </c>
      <c r="J52" s="3" t="str">
        <f>IF(Table32221[[#This Row],[Course]]= "","",IFERROR(VLOOKUP(Table32221[[#This Row],[Course]],COURSELIST[],8,FALSE),""))</f>
        <v/>
      </c>
      <c r="L52" s="184"/>
      <c r="M52" s="16"/>
      <c r="N52" s="3" t="str">
        <f>IF(Table143344[[#This Row],[Course]]= "","",IFERROR(VLOOKUP(Table143344[[#This Row],[Course]],COURSELIST[],2,FALSE),"Course Not Found!"))</f>
        <v/>
      </c>
      <c r="O52" s="3" t="str">
        <f>IF(Table143344[[#This Row],[Course]]= "","",IFERROR(VLOOKUP(Table143344[[#This Row],[Course]],COURSELIST[],3,FALSE),""))</f>
        <v/>
      </c>
      <c r="P52" s="3" t="str">
        <f>IF(Table143344[[#This Row],[Course]]= "","",IFERROR(VLOOKUP(Table143344[[#This Row],[Course]],COURSELIST[],4,FALSE),""))</f>
        <v/>
      </c>
      <c r="R52" s="3" t="str">
        <f>IF(Table143344[[#This Row],[Course]]= "","",IFERROR(VLOOKUP(Table143344[[#This Row],[Course]],COURSELIST[],6,FALSE),""))</f>
        <v/>
      </c>
      <c r="S52" s="3" t="str">
        <f>IF(Table143344[[#This Row],[Course]]= "","",IFERROR(VLOOKUP(Table143344[[#This Row],[Course]],COURSELIST[],7,FALSE),""))</f>
        <v/>
      </c>
      <c r="T52" s="3" t="str">
        <f>IF(Table143344[[#This Row],[Course]]= "","",IFERROR(VLOOKUP(Table143344[[#This Row],[Course]],COURSELIST[],8,FALSE),""))</f>
        <v/>
      </c>
      <c r="V52" s="184"/>
      <c r="W52" s="97" t="s">
        <v>228</v>
      </c>
      <c r="X52" s="3" t="str">
        <f>IF(Table92839[[#This Row],[Course]]= "","",IFERROR(VLOOKUP(Table92839[[#This Row],[Course]],COURSELIST[],2,FALSE),"Course Not Found!"))</f>
        <v>Internship?</v>
      </c>
      <c r="Y52" s="3" t="str">
        <f>IF(Table92839[[#This Row],[Course]]= "","",IFERROR(VLOOKUP(Table92839[[#This Row],[Course]],COURSELIST[],3,FALSE),""))</f>
        <v>IT</v>
      </c>
      <c r="Z52" s="3">
        <f>IF(Table92839[[#This Row],[Course]]= "","",IFERROR(VLOOKUP(Table92839[[#This Row],[Course]],COURSELIST[],4,FALSE),""))</f>
        <v>3</v>
      </c>
      <c r="AB52" s="3" t="str">
        <f>IF(Table92839[[#This Row],[Course]]= "","",IFERROR(VLOOKUP(Table92839[[#This Row],[Course]],COURSELIST[],6,FALSE),""))</f>
        <v>n</v>
      </c>
      <c r="AC52" s="3" t="str">
        <f>IF(Table92839[[#This Row],[Course]]= "","",IFERROR(VLOOKUP(Table92839[[#This Row],[Course]],COURSELIST[],7,FALSE),""))</f>
        <v>n</v>
      </c>
      <c r="AD52" s="3">
        <f>IF(Table92839[[#This Row],[Course]]= "","",IFERROR(VLOOKUP(Table92839[[#This Row],[Course]],COURSELIST[],8,FALSE),""))</f>
        <v>0</v>
      </c>
      <c r="AF52" s="184"/>
      <c r="AG52" s="25"/>
      <c r="AH52" s="3" t="str">
        <f>IF(Table928394952[[#This Row],[Course]]= "","",IFERROR(VLOOKUP(Table928394952[[#This Row],[Course]],COURSELIST[],2,FALSE),"Course Not Found!"))</f>
        <v/>
      </c>
      <c r="AI52" s="3" t="str">
        <f>IF(Table928394952[[#This Row],[Course]]= "","",IFERROR(VLOOKUP(Table928394952[[#This Row],[Course]],COURSELIST[],3,FALSE),""))</f>
        <v/>
      </c>
      <c r="AJ52" s="3" t="str">
        <f>IF(Table928394952[[#This Row],[Course]]= "","",IFERROR(VLOOKUP(Table928394952[[#This Row],[Course]],COURSELIST[],4,FALSE),""))</f>
        <v/>
      </c>
      <c r="AL52" s="3" t="str">
        <f>IF(Table928394952[[#This Row],[Course]]= "","",IFERROR(VLOOKUP(Table928394952[[#This Row],[Course]],COURSELIST[],6,FALSE),""))</f>
        <v/>
      </c>
      <c r="AM52" s="3" t="str">
        <f>IF(Table928394952[[#This Row],[Course]]= "","",IFERROR(VLOOKUP(Table928394952[[#This Row],[Course]],COURSELIST[],7,FALSE),""))</f>
        <v/>
      </c>
      <c r="AN52" s="3" t="str">
        <f>IF(Table928394952[[#This Row],[Course]]= "","",IFERROR(VLOOKUP(Table928394952[[#This Row],[Course]],COURSELIST[],8,FALSE),""))</f>
        <v/>
      </c>
    </row>
    <row r="53" spans="1:40" ht="15.75" outlineLevel="1" thickBot="1">
      <c r="B53" s="184"/>
      <c r="C53" s="6" t="s">
        <v>204</v>
      </c>
      <c r="D53" s="3" t="str">
        <f>IF(Table32221[[#This Row],[Course]]= "","",IFERROR(VLOOKUP(Table32221[[#This Row],[Course]],COURSELIST[],2,FALSE),"Course Not Found!"))</f>
        <v>CS 300+ Internship possibly?</v>
      </c>
      <c r="E53" s="3" t="str">
        <f>IF(Table32221[[#This Row],[Course]]= "","",IFERROR(VLOOKUP(Table32221[[#This Row],[Course]],COURSELIST[],3,FALSE),""))</f>
        <v>CompSci</v>
      </c>
      <c r="F53" s="3">
        <f>IF(Table32221[[#This Row],[Course]]= "","",IFERROR(VLOOKUP(Table32221[[#This Row],[Course]],COURSELIST[],4,FALSE),""))</f>
        <v>3</v>
      </c>
      <c r="H53" s="3" t="str">
        <f>IF(Table32221[[#This Row],[Course]]= "","",IFERROR(VLOOKUP(Table32221[[#This Row],[Course]],COURSELIST[],6,FALSE),""))</f>
        <v>n</v>
      </c>
      <c r="I53" s="3" t="str">
        <f>IF(Table32221[[#This Row],[Course]]= "","",IFERROR(VLOOKUP(Table32221[[#This Row],[Course]],COURSELIST[],7,FALSE),""))</f>
        <v>n</v>
      </c>
      <c r="J53" s="3">
        <f>IF(Table32221[[#This Row],[Course]]= "","",IFERROR(VLOOKUP(Table32221[[#This Row],[Course]],COURSELIST[],8,FALSE),""))</f>
        <v>0</v>
      </c>
      <c r="L53" s="184"/>
      <c r="M53" s="28"/>
      <c r="N53" s="3" t="str">
        <f>IF(Table143344[[#This Row],[Course]]= "","",IFERROR(VLOOKUP(Table143344[[#This Row],[Course]],COURSELIST[],2,FALSE),"Course Not Found!"))</f>
        <v/>
      </c>
      <c r="O53" s="3" t="str">
        <f>IF(Table143344[[#This Row],[Course]]= "","",IFERROR(VLOOKUP(Table143344[[#This Row],[Course]],COURSELIST[],3,FALSE),""))</f>
        <v/>
      </c>
      <c r="P53" s="3" t="str">
        <f>IF(Table143344[[#This Row],[Course]]= "","",IFERROR(VLOOKUP(Table143344[[#This Row],[Course]],COURSELIST[],4,FALSE),""))</f>
        <v/>
      </c>
      <c r="R53" s="3" t="str">
        <f>IF(Table143344[[#This Row],[Course]]= "","",IFERROR(VLOOKUP(Table143344[[#This Row],[Course]],COURSELIST[],6,FALSE),""))</f>
        <v/>
      </c>
      <c r="S53" s="3" t="str">
        <f>IF(Table143344[[#This Row],[Course]]= "","",IFERROR(VLOOKUP(Table143344[[#This Row],[Course]],COURSELIST[],7,FALSE),""))</f>
        <v/>
      </c>
      <c r="T53" s="3" t="str">
        <f>IF(Table143344[[#This Row],[Course]]= "","",IFERROR(VLOOKUP(Table143344[[#This Row],[Course]],COURSELIST[],8,FALSE),""))</f>
        <v/>
      </c>
      <c r="V53" s="184"/>
      <c r="W53" s="96" t="s">
        <v>214</v>
      </c>
      <c r="X53" s="3" t="str">
        <f>IF(Table92839[[#This Row],[Course]]= "","",IFERROR(VLOOKUP(Table92839[[#This Row],[Course]],COURSELIST[],2,FALSE),"Course Not Found!"))</f>
        <v>SW15 Sr Level</v>
      </c>
      <c r="Y53" s="3" t="str">
        <f>IF(Table92839[[#This Row],[Course]]= "","",IFERROR(VLOOKUP(Table92839[[#This Row],[Course]],COURSELIST[],3,FALSE),""))</f>
        <v>IT</v>
      </c>
      <c r="Z53" s="3">
        <f>IF(Table92839[[#This Row],[Course]]= "","",IFERROR(VLOOKUP(Table92839[[#This Row],[Course]],COURSELIST[],4,FALSE),""))</f>
        <v>3</v>
      </c>
      <c r="AB53" s="3" t="str">
        <f>IF(Table92839[[#This Row],[Course]]= "","",IFERROR(VLOOKUP(Table92839[[#This Row],[Course]],COURSELIST[],6,FALSE),""))</f>
        <v>n</v>
      </c>
      <c r="AC53" s="3" t="str">
        <f>IF(Table92839[[#This Row],[Course]]= "","",IFERROR(VLOOKUP(Table92839[[#This Row],[Course]],COURSELIST[],7,FALSE),""))</f>
        <v>n</v>
      </c>
      <c r="AD53" s="3">
        <f>IF(Table92839[[#This Row],[Course]]= "","",IFERROR(VLOOKUP(Table92839[[#This Row],[Course]],COURSELIST[],8,FALSE),""))</f>
        <v>0</v>
      </c>
      <c r="AF53" s="184"/>
      <c r="AG53" s="28"/>
      <c r="AH53" s="3" t="str">
        <f>IF(Table928394952[[#This Row],[Course]]= "","",IFERROR(VLOOKUP(Table928394952[[#This Row],[Course]],COURSELIST[],2,FALSE),"Course Not Found!"))</f>
        <v/>
      </c>
      <c r="AI53" s="3" t="str">
        <f>IF(Table928394952[[#This Row],[Course]]= "","",IFERROR(VLOOKUP(Table928394952[[#This Row],[Course]],COURSELIST[],3,FALSE),""))</f>
        <v/>
      </c>
      <c r="AJ53" s="3" t="str">
        <f>IF(Table928394952[[#This Row],[Course]]= "","",IFERROR(VLOOKUP(Table928394952[[#This Row],[Course]],COURSELIST[],4,FALSE),""))</f>
        <v/>
      </c>
      <c r="AL53" s="3" t="str">
        <f>IF(Table928394952[[#This Row],[Course]]= "","",IFERROR(VLOOKUP(Table928394952[[#This Row],[Course]],COURSELIST[],6,FALSE),""))</f>
        <v/>
      </c>
      <c r="AM53" s="3" t="str">
        <f>IF(Table928394952[[#This Row],[Course]]= "","",IFERROR(VLOOKUP(Table928394952[[#This Row],[Course]],COURSELIST[],7,FALSE),""))</f>
        <v/>
      </c>
      <c r="AN53" s="3" t="str">
        <f>IF(Table928394952[[#This Row],[Course]]= "","",IFERROR(VLOOKUP(Table928394952[[#This Row],[Course]],COURSELIST[],8,FALSE),""))</f>
        <v/>
      </c>
    </row>
    <row r="54" spans="1:40" outlineLevel="1">
      <c r="C54" s="19"/>
      <c r="E54" s="3" t="s">
        <v>10</v>
      </c>
      <c r="F54" s="3">
        <f>SUM(F47:F53)</f>
        <v>18</v>
      </c>
      <c r="G54" s="4"/>
      <c r="I54" s="3" t="s">
        <v>27</v>
      </c>
      <c r="J54" s="4">
        <f>SUM(J47:J53)</f>
        <v>0</v>
      </c>
      <c r="O54" s="3" t="s">
        <v>10</v>
      </c>
      <c r="P54" s="3">
        <f>SUM(P47:P53)</f>
        <v>3</v>
      </c>
      <c r="S54" s="3" t="s">
        <v>27</v>
      </c>
      <c r="T54" s="3">
        <f>SUM(T47:T53)</f>
        <v>0</v>
      </c>
      <c r="Y54" s="3" t="s">
        <v>10</v>
      </c>
      <c r="Z54" s="3">
        <f>SUM(Z47:Z53)</f>
        <v>21</v>
      </c>
      <c r="AC54" s="3" t="s">
        <v>27</v>
      </c>
      <c r="AD54" s="3">
        <f>SUM(AD47:AD53)</f>
        <v>0</v>
      </c>
      <c r="AI54" s="3" t="s">
        <v>10</v>
      </c>
      <c r="AJ54" s="3">
        <f>SUM(AJ47:AJ53)</f>
        <v>0</v>
      </c>
      <c r="AM54" s="3" t="s">
        <v>27</v>
      </c>
      <c r="AN54" s="3">
        <f>SUM(AN47:AN53)</f>
        <v>0</v>
      </c>
    </row>
    <row r="55" spans="1:40" outlineLevel="1">
      <c r="C55" s="19"/>
      <c r="E55" s="3" t="s">
        <v>18</v>
      </c>
      <c r="F55" s="3">
        <f>F54+AJ41</f>
        <v>143</v>
      </c>
      <c r="G55" s="4"/>
      <c r="I55" s="3" t="s">
        <v>17</v>
      </c>
      <c r="J55" s="4">
        <f>J54+AN41</f>
        <v>238.58</v>
      </c>
      <c r="O55" s="3" t="s">
        <v>18</v>
      </c>
      <c r="P55" s="3">
        <f>P54+F55</f>
        <v>146</v>
      </c>
      <c r="S55" s="3" t="s">
        <v>17</v>
      </c>
      <c r="T55" s="3">
        <f>T54+J55</f>
        <v>238.58</v>
      </c>
      <c r="Y55" s="3" t="s">
        <v>18</v>
      </c>
      <c r="Z55" s="3">
        <f>Z54+P55</f>
        <v>167</v>
      </c>
      <c r="AC55" s="3" t="s">
        <v>17</v>
      </c>
      <c r="AD55" s="3">
        <f>AD54+T55</f>
        <v>238.58</v>
      </c>
      <c r="AI55" s="3" t="s">
        <v>18</v>
      </c>
      <c r="AJ55" s="3">
        <f>AJ54+Z55</f>
        <v>167</v>
      </c>
      <c r="AM55" s="3" t="s">
        <v>17</v>
      </c>
      <c r="AN55" s="3">
        <f>AN54+AD55</f>
        <v>238.58</v>
      </c>
    </row>
    <row r="56" spans="1:40" outlineLevel="1">
      <c r="C56" s="19"/>
      <c r="E56" s="5" t="s">
        <v>19</v>
      </c>
      <c r="F56" s="5">
        <f>F54+AJ42</f>
        <v>129</v>
      </c>
      <c r="G56" s="24"/>
      <c r="I56" s="3" t="s">
        <v>14</v>
      </c>
      <c r="J56" s="4">
        <f>J54/F54</f>
        <v>0</v>
      </c>
      <c r="O56" s="5" t="s">
        <v>19</v>
      </c>
      <c r="P56" s="5">
        <f>P54+F56</f>
        <v>132</v>
      </c>
      <c r="Q56" s="5"/>
      <c r="S56" s="3" t="s">
        <v>14</v>
      </c>
      <c r="T56" s="3">
        <f>T54/P54</f>
        <v>0</v>
      </c>
      <c r="W56" s="5"/>
      <c r="X56" s="5"/>
      <c r="Y56" s="5" t="s">
        <v>19</v>
      </c>
      <c r="Z56" s="5">
        <f>Z54+P56</f>
        <v>153</v>
      </c>
      <c r="AA56" s="5"/>
      <c r="AC56" s="3" t="s">
        <v>14</v>
      </c>
      <c r="AD56" s="3">
        <f>AD54/Z54</f>
        <v>0</v>
      </c>
      <c r="AG56" s="5"/>
      <c r="AH56" s="5"/>
      <c r="AI56" s="5" t="s">
        <v>19</v>
      </c>
      <c r="AJ56" s="5">
        <f>AJ54+Z56</f>
        <v>153</v>
      </c>
      <c r="AK56" s="5"/>
      <c r="AM56" s="3" t="s">
        <v>14</v>
      </c>
      <c r="AN56" s="3" t="e">
        <f>AN54/AJ54</f>
        <v>#DIV/0!</v>
      </c>
    </row>
    <row r="57" spans="1:40" ht="21.75" outlineLevel="1" thickBot="1">
      <c r="C57" s="19"/>
      <c r="G57" s="4"/>
      <c r="H57" s="23"/>
      <c r="I57" s="5" t="s">
        <v>16</v>
      </c>
      <c r="J57" s="24">
        <f>J55/F56</f>
        <v>1.8494573643410854</v>
      </c>
      <c r="M57" s="5"/>
      <c r="N57" s="5"/>
      <c r="S57" s="5" t="s">
        <v>16</v>
      </c>
      <c r="T57" s="5">
        <f>T55/P56</f>
        <v>1.8074242424242426</v>
      </c>
      <c r="AC57" s="5" t="s">
        <v>16</v>
      </c>
      <c r="AD57" s="5">
        <f>AD55/Z56</f>
        <v>1.5593464052287582</v>
      </c>
      <c r="AM57" s="5" t="s">
        <v>16</v>
      </c>
      <c r="AN57" s="5">
        <f>AN55/AJ56</f>
        <v>1.5593464052287582</v>
      </c>
    </row>
    <row r="58" spans="1:40" ht="21.75" thickBot="1">
      <c r="A58" s="87" t="s">
        <v>92</v>
      </c>
      <c r="D58" s="37"/>
      <c r="J58" s="23"/>
    </row>
    <row r="59" spans="1:40" ht="23.25" hidden="1" customHeight="1" outlineLevel="1" thickBot="1">
      <c r="B59" s="184" t="s">
        <v>597</v>
      </c>
      <c r="C59" s="190" t="s">
        <v>93</v>
      </c>
      <c r="D59" s="191"/>
      <c r="E59" s="192"/>
      <c r="F59" s="193" t="str">
        <f>GradeStatus(Z55)&amp;"--"&amp;Z55&amp;" Credits "&amp;F70&amp;" In Progress"</f>
        <v>Senior--167 Credits 153 In Progress</v>
      </c>
      <c r="G59" s="194"/>
      <c r="H59" s="194"/>
      <c r="I59" s="194"/>
      <c r="J59" s="194"/>
      <c r="L59" s="184" t="s">
        <v>94</v>
      </c>
      <c r="M59" s="195" t="s">
        <v>55</v>
      </c>
      <c r="N59" s="196"/>
      <c r="O59" s="197"/>
      <c r="P59" s="182" t="str">
        <f>GradeStatus(F70)&amp;"--"&amp;F70&amp;" Credits "&amp;P70&amp;" In Progress"</f>
        <v>Senior--153 Credits 153 In Progress</v>
      </c>
      <c r="Q59" s="183"/>
      <c r="R59" s="183"/>
      <c r="S59" s="183"/>
      <c r="T59" s="183"/>
      <c r="V59" s="184" t="s">
        <v>95</v>
      </c>
      <c r="W59" s="185" t="s">
        <v>56</v>
      </c>
      <c r="X59" s="186"/>
      <c r="Y59" s="187"/>
      <c r="Z59" s="188" t="str">
        <f>GradeStatus(P70)&amp;"--"&amp;P70&amp;" Credits "&amp;Z70&amp;" In Progress"</f>
        <v>Senior--153 Credits 153 In Progress</v>
      </c>
      <c r="AA59" s="189"/>
      <c r="AB59" s="189"/>
      <c r="AC59" s="189"/>
      <c r="AD59" s="189"/>
      <c r="AF59" s="184" t="s">
        <v>96</v>
      </c>
      <c r="AG59" s="177" t="s">
        <v>59</v>
      </c>
      <c r="AH59" s="178"/>
      <c r="AI59" s="179"/>
      <c r="AJ59" s="180" t="str">
        <f>GradeStatus(Z69)&amp;"--"&amp;Z69&amp;" Credits "&amp;AJ69&amp;" In Progress"</f>
        <v>Senior--167 Credits 167 In Progress</v>
      </c>
      <c r="AK59" s="181"/>
      <c r="AL59" s="181"/>
      <c r="AM59" s="181"/>
      <c r="AN59" s="181"/>
    </row>
    <row r="60" spans="1:40" ht="15.75" hidden="1" outlineLevel="1" thickBot="1">
      <c r="B60" s="184"/>
      <c r="C60" s="3" t="s">
        <v>20</v>
      </c>
      <c r="D60" s="3" t="s">
        <v>24</v>
      </c>
      <c r="E60" s="3" t="s">
        <v>25</v>
      </c>
      <c r="F60" s="3" t="s">
        <v>10</v>
      </c>
      <c r="G60" s="3" t="s">
        <v>26</v>
      </c>
      <c r="H60" s="3" t="s">
        <v>12</v>
      </c>
      <c r="I60" s="3" t="s">
        <v>36</v>
      </c>
      <c r="J60" s="3" t="s">
        <v>28</v>
      </c>
      <c r="L60" s="184"/>
      <c r="M60" s="3" t="s">
        <v>20</v>
      </c>
      <c r="N60" s="3" t="s">
        <v>24</v>
      </c>
      <c r="O60" s="3" t="s">
        <v>25</v>
      </c>
      <c r="P60" s="3" t="s">
        <v>10</v>
      </c>
      <c r="Q60" s="3" t="s">
        <v>26</v>
      </c>
      <c r="R60" s="3" t="s">
        <v>12</v>
      </c>
      <c r="S60" s="3" t="s">
        <v>36</v>
      </c>
      <c r="T60" s="3" t="s">
        <v>28</v>
      </c>
      <c r="V60" s="184"/>
      <c r="W60" s="3" t="s">
        <v>20</v>
      </c>
      <c r="X60" s="3" t="s">
        <v>24</v>
      </c>
      <c r="Y60" s="3" t="s">
        <v>25</v>
      </c>
      <c r="Z60" s="3" t="s">
        <v>10</v>
      </c>
      <c r="AA60" s="3" t="s">
        <v>26</v>
      </c>
      <c r="AB60" s="3" t="s">
        <v>12</v>
      </c>
      <c r="AC60" s="3" t="s">
        <v>36</v>
      </c>
      <c r="AD60" s="3" t="s">
        <v>28</v>
      </c>
      <c r="AF60" s="184"/>
      <c r="AG60" s="3" t="s">
        <v>20</v>
      </c>
      <c r="AH60" s="3" t="s">
        <v>24</v>
      </c>
      <c r="AI60" s="3" t="s">
        <v>25</v>
      </c>
      <c r="AJ60" s="3" t="s">
        <v>10</v>
      </c>
      <c r="AK60" s="3" t="s">
        <v>26</v>
      </c>
      <c r="AL60" s="3" t="s">
        <v>12</v>
      </c>
      <c r="AM60" s="3" t="s">
        <v>36</v>
      </c>
      <c r="AN60" s="3" t="s">
        <v>28</v>
      </c>
    </row>
    <row r="61" spans="1:40" ht="15.75" hidden="1" outlineLevel="1" thickBot="1">
      <c r="B61" s="184"/>
      <c r="C61" s="97"/>
      <c r="D61" s="3" t="str">
        <f>IF(Table3222148[[#This Row],[Course]]= "","",IFERROR(VLOOKUP(Table3222148[[#This Row],[Course]],COURSELIST[],2,FALSE),"Course Not Found!"))</f>
        <v/>
      </c>
      <c r="E61" s="3" t="str">
        <f>IF(Table3222148[[#This Row],[Course]]= "","",IFERROR(VLOOKUP(Table3222148[[#This Row],[Course]],COURSELIST[],3,FALSE),""))</f>
        <v/>
      </c>
      <c r="F61" s="3" t="str">
        <f>IF(Table3222148[[#This Row],[Course]]= "","",IFERROR(VLOOKUP(Table3222148[[#This Row],[Course]],COURSELIST[],4,FALSE),""))</f>
        <v/>
      </c>
      <c r="H61" s="3" t="str">
        <f>IF(Table3222148[[#This Row],[Course]]= "","",IFERROR(VLOOKUP(Table3222148[[#This Row],[Course]],COURSELIST[],6,FALSE),""))</f>
        <v/>
      </c>
      <c r="I61" s="3" t="str">
        <f>IF(Table3222148[[#This Row],[Course]]= "","",IFERROR(VLOOKUP(Table3222148[[#This Row],[Course]],COURSELIST[],7,FALSE),""))</f>
        <v/>
      </c>
      <c r="J61" s="3" t="str">
        <f>IF(Table3222148[[#This Row],[Course]]= "","",IFERROR(VLOOKUP(Table3222148[[#This Row],[Course]],COURSELIST[],8,FALSE),""))</f>
        <v/>
      </c>
      <c r="L61" s="184"/>
      <c r="M61" s="27"/>
      <c r="N61" s="3" t="str">
        <f>IF(Table14334450[[#This Row],[Course]]= "","",IFERROR(VLOOKUP(Table14334450[[#This Row],[Course]],COURSELIST[],2,FALSE),"Course Not Found!"))</f>
        <v/>
      </c>
      <c r="O61" s="3" t="str">
        <f>IF(Table14334450[[#This Row],[Course]]= "","",IFERROR(VLOOKUP(Table14334450[[#This Row],[Course]],COURSELIST[],3,FALSE),""))</f>
        <v/>
      </c>
      <c r="P61" s="3" t="str">
        <f>IF(Table14334450[[#This Row],[Course]]= "","",IFERROR(VLOOKUP(Table14334450[[#This Row],[Course]],COURSELIST[],4,FALSE),""))</f>
        <v/>
      </c>
      <c r="R61" s="3" t="str">
        <f>IF(Table14334450[[#This Row],[Course]]= "","",IFERROR(VLOOKUP(Table14334450[[#This Row],[Course]],COURSELIST[],6,FALSE),""))</f>
        <v/>
      </c>
      <c r="S61" s="3" t="str">
        <f>IF(Table14334450[[#This Row],[Course]]= "","",IFERROR(VLOOKUP(Table14334450[[#This Row],[Course]],COURSELIST[],7,FALSE),""))</f>
        <v/>
      </c>
      <c r="T61" s="3" t="str">
        <f>IF(Table14334450[[#This Row],[Course]]= "","",IFERROR(VLOOKUP(Table14334450[[#This Row],[Course]],COURSELIST[],8,FALSE),""))</f>
        <v/>
      </c>
      <c r="V61" s="184"/>
      <c r="W61" s="25"/>
      <c r="X61" s="3" t="str">
        <f>IF(Table9283949[[#This Row],[Course]]= "","",IFERROR(VLOOKUP(Table9283949[[#This Row],[Course]],COURSELIST[],2,FALSE),"Course Not Found!"))</f>
        <v/>
      </c>
      <c r="Y61" s="3" t="str">
        <f>IF(Table9283949[[#This Row],[Course]]= "","",IFERROR(VLOOKUP(Table9283949[[#This Row],[Course]],COURSELIST[],3,FALSE),""))</f>
        <v/>
      </c>
      <c r="Z61" s="3" t="str">
        <f>IF(Table9283949[[#This Row],[Course]]= "","",IFERROR(VLOOKUP(Table9283949[[#This Row],[Course]],COURSELIST[],4,FALSE),""))</f>
        <v/>
      </c>
      <c r="AB61" s="3" t="str">
        <f>IF(Table9283949[[#This Row],[Course]]= "","",IFERROR(VLOOKUP(Table9283949[[#This Row],[Course]],COURSELIST[],6,FALSE),""))</f>
        <v/>
      </c>
      <c r="AC61" s="3" t="str">
        <f>IF(Table9283949[[#This Row],[Course]]= "","",IFERROR(VLOOKUP(Table9283949[[#This Row],[Course]],COURSELIST[],7,FALSE),""))</f>
        <v/>
      </c>
      <c r="AD61" s="3" t="str">
        <f>IF(Table9283949[[#This Row],[Course]]= "","",IFERROR(VLOOKUP(Table9283949[[#This Row],[Course]],COURSELIST[],8,FALSE),""))</f>
        <v/>
      </c>
      <c r="AF61" s="184"/>
      <c r="AG61" s="25"/>
      <c r="AH61" s="3" t="str">
        <f>IF(Table92839495255[[#This Row],[Course]]= "","",IFERROR(VLOOKUP(Table92839495255[[#This Row],[Course]],COURSELIST[],2,FALSE),"Course Not Found!"))</f>
        <v/>
      </c>
      <c r="AI61" s="3" t="str">
        <f>IF(Table92839495255[[#This Row],[Course]]= "","",IFERROR(VLOOKUP(Table92839495255[[#This Row],[Course]],COURSELIST[],3,FALSE),""))</f>
        <v/>
      </c>
      <c r="AJ61" s="3" t="str">
        <f>IF(Table92839495255[[#This Row],[Course]]= "","",IFERROR(VLOOKUP(Table92839495255[[#This Row],[Course]],COURSELIST[],4,FALSE),""))</f>
        <v/>
      </c>
      <c r="AL61" s="3" t="str">
        <f>IF(Table92839495255[[#This Row],[Course]]= "","",IFERROR(VLOOKUP(Table92839495255[[#This Row],[Course]],COURSELIST[],6,FALSE),""))</f>
        <v/>
      </c>
      <c r="AM61" s="3" t="str">
        <f>IF(Table92839495255[[#This Row],[Course]]= "","",IFERROR(VLOOKUP(Table92839495255[[#This Row],[Course]],COURSELIST[],7,FALSE),""))</f>
        <v/>
      </c>
      <c r="AN61" s="3" t="str">
        <f>IF(Table92839495255[[#This Row],[Course]]= "","",IFERROR(VLOOKUP(Table92839495255[[#This Row],[Course]],COURSELIST[],8,FALSE),""))</f>
        <v/>
      </c>
    </row>
    <row r="62" spans="1:40" ht="15.75" hidden="1" outlineLevel="1" thickBot="1">
      <c r="B62" s="184"/>
      <c r="C62" s="96"/>
      <c r="D62" s="3" t="str">
        <f>IF(Table3222148[[#This Row],[Course]]= "","",IFERROR(VLOOKUP(Table3222148[[#This Row],[Course]],COURSELIST[],2,FALSE),"Course Not Found!"))</f>
        <v/>
      </c>
      <c r="E62" s="3" t="str">
        <f>IF(Table3222148[[#This Row],[Course]]= "","",IFERROR(VLOOKUP(Table3222148[[#This Row],[Course]],COURSELIST[],3,FALSE),""))</f>
        <v/>
      </c>
      <c r="F62" s="3" t="str">
        <f>IF(Table3222148[[#This Row],[Course]]= "","",IFERROR(VLOOKUP(Table3222148[[#This Row],[Course]],COURSELIST[],4,FALSE),""))</f>
        <v/>
      </c>
      <c r="H62" s="3" t="str">
        <f>IF(Table3222148[[#This Row],[Course]]= "","",IFERROR(VLOOKUP(Table3222148[[#This Row],[Course]],COURSELIST[],6,FALSE),""))</f>
        <v/>
      </c>
      <c r="I62" s="3" t="str">
        <f>IF(Table3222148[[#This Row],[Course]]= "","",IFERROR(VLOOKUP(Table3222148[[#This Row],[Course]],COURSELIST[],7,FALSE),""))</f>
        <v/>
      </c>
      <c r="J62" s="3" t="str">
        <f>IF(Table3222148[[#This Row],[Course]]= "","",IFERROR(VLOOKUP(Table3222148[[#This Row],[Course]],COURSELIST[],8,FALSE),""))</f>
        <v/>
      </c>
      <c r="K62" s="5"/>
      <c r="L62" s="184"/>
      <c r="M62" s="25"/>
      <c r="N62" s="3" t="str">
        <f>IF(Table14334450[[#This Row],[Course]]= "","",IFERROR(VLOOKUP(Table14334450[[#This Row],[Course]],COURSELIST[],2,FALSE),"Course Not Found!"))</f>
        <v/>
      </c>
      <c r="O62" s="3" t="str">
        <f>IF(Table14334450[[#This Row],[Course]]= "","",IFERROR(VLOOKUP(Table14334450[[#This Row],[Course]],COURSELIST[],3,FALSE),""))</f>
        <v/>
      </c>
      <c r="P62" s="3" t="str">
        <f>IF(Table14334450[[#This Row],[Course]]= "","",IFERROR(VLOOKUP(Table14334450[[#This Row],[Course]],COURSELIST[],4,FALSE),""))</f>
        <v/>
      </c>
      <c r="R62" s="3" t="str">
        <f>IF(Table14334450[[#This Row],[Course]]= "","",IFERROR(VLOOKUP(Table14334450[[#This Row],[Course]],COURSELIST[],6,FALSE),""))</f>
        <v/>
      </c>
      <c r="S62" s="3" t="str">
        <f>IF(Table14334450[[#This Row],[Course]]= "","",IFERROR(VLOOKUP(Table14334450[[#This Row],[Course]],COURSELIST[],7,FALSE),""))</f>
        <v/>
      </c>
      <c r="T62" s="3" t="str">
        <f>IF(Table14334450[[#This Row],[Course]]= "","",IFERROR(VLOOKUP(Table14334450[[#This Row],[Course]],COURSELIST[],8,FALSE),""))</f>
        <v/>
      </c>
      <c r="U62" s="5"/>
      <c r="V62" s="184"/>
      <c r="W62" s="25"/>
      <c r="X62" s="3" t="str">
        <f>IF(Table9283949[[#This Row],[Course]]= "","",IFERROR(VLOOKUP(Table9283949[[#This Row],[Course]],COURSELIST[],2,FALSE),"Course Not Found!"))</f>
        <v/>
      </c>
      <c r="Y62" s="3" t="str">
        <f>IF(Table9283949[[#This Row],[Course]]= "","",IFERROR(VLOOKUP(Table9283949[[#This Row],[Course]],COURSELIST[],3,FALSE),""))</f>
        <v/>
      </c>
      <c r="Z62" s="3" t="str">
        <f>IF(Table9283949[[#This Row],[Course]]= "","",IFERROR(VLOOKUP(Table9283949[[#This Row],[Course]],COURSELIST[],4,FALSE),""))</f>
        <v/>
      </c>
      <c r="AB62" s="3" t="str">
        <f>IF(Table9283949[[#This Row],[Course]]= "","",IFERROR(VLOOKUP(Table9283949[[#This Row],[Course]],COURSELIST[],6,FALSE),""))</f>
        <v/>
      </c>
      <c r="AC62" s="3" t="str">
        <f>IF(Table9283949[[#This Row],[Course]]= "","",IFERROR(VLOOKUP(Table9283949[[#This Row],[Course]],COURSELIST[],7,FALSE),""))</f>
        <v/>
      </c>
      <c r="AD62" s="3" t="str">
        <f>IF(Table9283949[[#This Row],[Course]]= "","",IFERROR(VLOOKUP(Table9283949[[#This Row],[Course]],COURSELIST[],8,FALSE),""))</f>
        <v/>
      </c>
      <c r="AF62" s="184"/>
      <c r="AG62" s="25"/>
      <c r="AH62" s="3" t="str">
        <f>IF(Table92839495255[[#This Row],[Course]]= "","",IFERROR(VLOOKUP(Table92839495255[[#This Row],[Course]],COURSELIST[],2,FALSE),"Course Not Found!"))</f>
        <v/>
      </c>
      <c r="AI62" s="3" t="str">
        <f>IF(Table92839495255[[#This Row],[Course]]= "","",IFERROR(VLOOKUP(Table92839495255[[#This Row],[Course]],COURSELIST[],3,FALSE),""))</f>
        <v/>
      </c>
      <c r="AJ62" s="3" t="str">
        <f>IF(Table92839495255[[#This Row],[Course]]= "","",IFERROR(VLOOKUP(Table92839495255[[#This Row],[Course]],COURSELIST[],4,FALSE),""))</f>
        <v/>
      </c>
      <c r="AL62" s="3" t="str">
        <f>IF(Table92839495255[[#This Row],[Course]]= "","",IFERROR(VLOOKUP(Table92839495255[[#This Row],[Course]],COURSELIST[],6,FALSE),""))</f>
        <v/>
      </c>
      <c r="AM62" s="3" t="str">
        <f>IF(Table92839495255[[#This Row],[Course]]= "","",IFERROR(VLOOKUP(Table92839495255[[#This Row],[Course]],COURSELIST[],7,FALSE),""))</f>
        <v/>
      </c>
      <c r="AN62" s="3" t="str">
        <f>IF(Table92839495255[[#This Row],[Course]]= "","",IFERROR(VLOOKUP(Table92839495255[[#This Row],[Course]],COURSELIST[],8,FALSE),""))</f>
        <v/>
      </c>
    </row>
    <row r="63" spans="1:40" ht="15.75" hidden="1" outlineLevel="1" thickBot="1">
      <c r="B63" s="184"/>
      <c r="C63" s="96"/>
      <c r="D63" s="3" t="str">
        <f>IF(Table3222148[[#This Row],[Course]]= "","",IFERROR(VLOOKUP(Table3222148[[#This Row],[Course]],COURSELIST[],2,FALSE),"Course Not Found!"))</f>
        <v/>
      </c>
      <c r="E63" s="3" t="str">
        <f>IF(Table3222148[[#This Row],[Course]]= "","",IFERROR(VLOOKUP(Table3222148[[#This Row],[Course]],COURSELIST[],3,FALSE),""))</f>
        <v/>
      </c>
      <c r="F63" s="3" t="str">
        <f>IF(Table3222148[[#This Row],[Course]]= "","",IFERROR(VLOOKUP(Table3222148[[#This Row],[Course]],COURSELIST[],4,FALSE),""))</f>
        <v/>
      </c>
      <c r="H63" s="3" t="str">
        <f>IF(Table3222148[[#This Row],[Course]]= "","",IFERROR(VLOOKUP(Table3222148[[#This Row],[Course]],COURSELIST[],6,FALSE),""))</f>
        <v/>
      </c>
      <c r="I63" s="3" t="str">
        <f>IF(Table3222148[[#This Row],[Course]]= "","",IFERROR(VLOOKUP(Table3222148[[#This Row],[Course]],COURSELIST[],7,FALSE),""))</f>
        <v/>
      </c>
      <c r="J63" s="3" t="str">
        <f>IF(Table3222148[[#This Row],[Course]]= "","",IFERROR(VLOOKUP(Table3222148[[#This Row],[Course]],COURSELIST[],8,FALSE),""))</f>
        <v/>
      </c>
      <c r="L63" s="184"/>
      <c r="M63" s="25"/>
      <c r="N63" s="3" t="str">
        <f>IF(Table14334450[[#This Row],[Course]]= "","",IFERROR(VLOOKUP(Table14334450[[#This Row],[Course]],COURSELIST[],2,FALSE),"Course Not Found!"))</f>
        <v/>
      </c>
      <c r="O63" s="3" t="str">
        <f>IF(Table14334450[[#This Row],[Course]]= "","",IFERROR(VLOOKUP(Table14334450[[#This Row],[Course]],COURSELIST[],3,FALSE),""))</f>
        <v/>
      </c>
      <c r="P63" s="3" t="str">
        <f>IF(Table14334450[[#This Row],[Course]]= "","",IFERROR(VLOOKUP(Table14334450[[#This Row],[Course]],COURSELIST[],4,FALSE),""))</f>
        <v/>
      </c>
      <c r="R63" s="3" t="str">
        <f>IF(Table14334450[[#This Row],[Course]]= "","",IFERROR(VLOOKUP(Table14334450[[#This Row],[Course]],COURSELIST[],6,FALSE),""))</f>
        <v/>
      </c>
      <c r="S63" s="3" t="str">
        <f>IF(Table14334450[[#This Row],[Course]]= "","",IFERROR(VLOOKUP(Table14334450[[#This Row],[Course]],COURSELIST[],7,FALSE),""))</f>
        <v/>
      </c>
      <c r="T63" s="3" t="str">
        <f>IF(Table14334450[[#This Row],[Course]]= "","",IFERROR(VLOOKUP(Table14334450[[#This Row],[Course]],COURSELIST[],8,FALSE),""))</f>
        <v/>
      </c>
      <c r="V63" s="184"/>
      <c r="W63" s="16"/>
      <c r="X63" s="3" t="str">
        <f>IF(Table9283949[[#This Row],[Course]]= "","",IFERROR(VLOOKUP(Table9283949[[#This Row],[Course]],COURSELIST[],2,FALSE),"Course Not Found!"))</f>
        <v/>
      </c>
      <c r="Y63" s="3" t="str">
        <f>IF(Table9283949[[#This Row],[Course]]= "","",IFERROR(VLOOKUP(Table9283949[[#This Row],[Course]],COURSELIST[],3,FALSE),""))</f>
        <v/>
      </c>
      <c r="Z63" s="3" t="str">
        <f>IF(Table9283949[[#This Row],[Course]]= "","",IFERROR(VLOOKUP(Table9283949[[#This Row],[Course]],COURSELIST[],4,FALSE),""))</f>
        <v/>
      </c>
      <c r="AB63" s="3" t="str">
        <f>IF(Table9283949[[#This Row],[Course]]= "","",IFERROR(VLOOKUP(Table9283949[[#This Row],[Course]],COURSELIST[],6,FALSE),""))</f>
        <v/>
      </c>
      <c r="AC63" s="3" t="str">
        <f>IF(Table9283949[[#This Row],[Course]]= "","",IFERROR(VLOOKUP(Table9283949[[#This Row],[Course]],COURSELIST[],7,FALSE),""))</f>
        <v/>
      </c>
      <c r="AD63" s="3" t="str">
        <f>IF(Table9283949[[#This Row],[Course]]= "","",IFERROR(VLOOKUP(Table9283949[[#This Row],[Course]],COURSELIST[],8,FALSE),""))</f>
        <v/>
      </c>
      <c r="AF63" s="184"/>
      <c r="AG63" s="16"/>
      <c r="AH63" s="3" t="str">
        <f>IF(Table92839495255[[#This Row],[Course]]= "","",IFERROR(VLOOKUP(Table92839495255[[#This Row],[Course]],COURSELIST[],2,FALSE),"Course Not Found!"))</f>
        <v/>
      </c>
      <c r="AI63" s="3" t="str">
        <f>IF(Table92839495255[[#This Row],[Course]]= "","",IFERROR(VLOOKUP(Table92839495255[[#This Row],[Course]],COURSELIST[],3,FALSE),""))</f>
        <v/>
      </c>
      <c r="AJ63" s="3" t="str">
        <f>IF(Table92839495255[[#This Row],[Course]]= "","",IFERROR(VLOOKUP(Table92839495255[[#This Row],[Course]],COURSELIST[],4,FALSE),""))</f>
        <v/>
      </c>
      <c r="AL63" s="3" t="str">
        <f>IF(Table92839495255[[#This Row],[Course]]= "","",IFERROR(VLOOKUP(Table92839495255[[#This Row],[Course]],COURSELIST[],6,FALSE),""))</f>
        <v/>
      </c>
      <c r="AM63" s="3" t="str">
        <f>IF(Table92839495255[[#This Row],[Course]]= "","",IFERROR(VLOOKUP(Table92839495255[[#This Row],[Course]],COURSELIST[],7,FALSE),""))</f>
        <v/>
      </c>
      <c r="AN63" s="3" t="str">
        <f>IF(Table92839495255[[#This Row],[Course]]= "","",IFERROR(VLOOKUP(Table92839495255[[#This Row],[Course]],COURSELIST[],8,FALSE),""))</f>
        <v/>
      </c>
    </row>
    <row r="64" spans="1:40" ht="15.75" hidden="1" outlineLevel="1" thickBot="1">
      <c r="B64" s="184"/>
      <c r="C64" s="96"/>
      <c r="D64" s="3" t="str">
        <f>IF(Table3222148[[#This Row],[Course]]= "","",IFERROR(VLOOKUP(Table3222148[[#This Row],[Course]],COURSELIST[],2,FALSE),"Course Not Found!"))</f>
        <v/>
      </c>
      <c r="E64" s="3" t="str">
        <f>IF(Table3222148[[#This Row],[Course]]= "","",IFERROR(VLOOKUP(Table3222148[[#This Row],[Course]],COURSELIST[],3,FALSE),""))</f>
        <v/>
      </c>
      <c r="F64" s="3" t="str">
        <f>IF(Table3222148[[#This Row],[Course]]= "","",IFERROR(VLOOKUP(Table3222148[[#This Row],[Course]],COURSELIST[],4,FALSE),""))</f>
        <v/>
      </c>
      <c r="H64" s="3" t="str">
        <f>IF(Table3222148[[#This Row],[Course]]= "","",IFERROR(VLOOKUP(Table3222148[[#This Row],[Course]],COURSELIST[],6,FALSE),""))</f>
        <v/>
      </c>
      <c r="I64" s="3" t="str">
        <f>IF(Table3222148[[#This Row],[Course]]= "","",IFERROR(VLOOKUP(Table3222148[[#This Row],[Course]],COURSELIST[],7,FALSE),""))</f>
        <v/>
      </c>
      <c r="J64" s="3" t="str">
        <f>IF(Table3222148[[#This Row],[Course]]= "","",IFERROR(VLOOKUP(Table3222148[[#This Row],[Course]],COURSELIST[],8,FALSE),""))</f>
        <v/>
      </c>
      <c r="L64" s="184"/>
      <c r="M64" s="25"/>
      <c r="N64" s="3" t="str">
        <f>IF(Table14334450[[#This Row],[Course]]= "","",IFERROR(VLOOKUP(Table14334450[[#This Row],[Course]],COURSELIST[],2,FALSE),"Course Not Found!"))</f>
        <v/>
      </c>
      <c r="O64" s="3" t="str">
        <f>IF(Table14334450[[#This Row],[Course]]= "","",IFERROR(VLOOKUP(Table14334450[[#This Row],[Course]],COURSELIST[],3,FALSE),""))</f>
        <v/>
      </c>
      <c r="P64" s="3" t="str">
        <f>IF(Table14334450[[#This Row],[Course]]= "","",IFERROR(VLOOKUP(Table14334450[[#This Row],[Course]],COURSELIST[],4,FALSE),""))</f>
        <v/>
      </c>
      <c r="R64" s="3" t="str">
        <f>IF(Table14334450[[#This Row],[Course]]= "","",IFERROR(VLOOKUP(Table14334450[[#This Row],[Course]],COURSELIST[],6,FALSE),""))</f>
        <v/>
      </c>
      <c r="S64" s="3" t="str">
        <f>IF(Table14334450[[#This Row],[Course]]= "","",IFERROR(VLOOKUP(Table14334450[[#This Row],[Course]],COURSELIST[],7,FALSE),""))</f>
        <v/>
      </c>
      <c r="T64" s="3" t="str">
        <f>IF(Table14334450[[#This Row],[Course]]= "","",IFERROR(VLOOKUP(Table14334450[[#This Row],[Course]],COURSELIST[],8,FALSE),""))</f>
        <v/>
      </c>
      <c r="V64" s="184"/>
      <c r="W64" s="16"/>
      <c r="X64" s="3" t="str">
        <f>IF(Table9283949[[#This Row],[Course]]= "","",IFERROR(VLOOKUP(Table9283949[[#This Row],[Course]],COURSELIST[],2,FALSE),"Course Not Found!"))</f>
        <v/>
      </c>
      <c r="Y64" s="3" t="str">
        <f>IF(Table9283949[[#This Row],[Course]]= "","",IFERROR(VLOOKUP(Table9283949[[#This Row],[Course]],COURSELIST[],3,FALSE),""))</f>
        <v/>
      </c>
      <c r="Z64" s="3" t="str">
        <f>IF(Table9283949[[#This Row],[Course]]= "","",IFERROR(VLOOKUP(Table9283949[[#This Row],[Course]],COURSELIST[],4,FALSE),""))</f>
        <v/>
      </c>
      <c r="AB64" s="3" t="str">
        <f>IF(Table9283949[[#This Row],[Course]]= "","",IFERROR(VLOOKUP(Table9283949[[#This Row],[Course]],COURSELIST[],6,FALSE),""))</f>
        <v/>
      </c>
      <c r="AC64" s="3" t="str">
        <f>IF(Table9283949[[#This Row],[Course]]= "","",IFERROR(VLOOKUP(Table9283949[[#This Row],[Course]],COURSELIST[],7,FALSE),""))</f>
        <v/>
      </c>
      <c r="AD64" s="3" t="str">
        <f>IF(Table9283949[[#This Row],[Course]]= "","",IFERROR(VLOOKUP(Table9283949[[#This Row],[Course]],COURSELIST[],8,FALSE),""))</f>
        <v/>
      </c>
      <c r="AF64" s="184"/>
      <c r="AG64" s="16"/>
      <c r="AH64" s="3" t="str">
        <f>IF(Table92839495255[[#This Row],[Course]]= "","",IFERROR(VLOOKUP(Table92839495255[[#This Row],[Course]],COURSELIST[],2,FALSE),"Course Not Found!"))</f>
        <v/>
      </c>
      <c r="AI64" s="3" t="str">
        <f>IF(Table92839495255[[#This Row],[Course]]= "","",IFERROR(VLOOKUP(Table92839495255[[#This Row],[Course]],COURSELIST[],3,FALSE),""))</f>
        <v/>
      </c>
      <c r="AJ64" s="3" t="str">
        <f>IF(Table92839495255[[#This Row],[Course]]= "","",IFERROR(VLOOKUP(Table92839495255[[#This Row],[Course]],COURSELIST[],4,FALSE),""))</f>
        <v/>
      </c>
      <c r="AL64" s="3" t="str">
        <f>IF(Table92839495255[[#This Row],[Course]]= "","",IFERROR(VLOOKUP(Table92839495255[[#This Row],[Course]],COURSELIST[],6,FALSE),""))</f>
        <v/>
      </c>
      <c r="AM64" s="3" t="str">
        <f>IF(Table92839495255[[#This Row],[Course]]= "","",IFERROR(VLOOKUP(Table92839495255[[#This Row],[Course]],COURSELIST[],7,FALSE),""))</f>
        <v/>
      </c>
      <c r="AN64" s="3" t="str">
        <f>IF(Table92839495255[[#This Row],[Course]]= "","",IFERROR(VLOOKUP(Table92839495255[[#This Row],[Course]],COURSELIST[],8,FALSE),""))</f>
        <v/>
      </c>
    </row>
    <row r="65" spans="1:40" ht="15.75" hidden="1" outlineLevel="1" thickBot="1">
      <c r="B65" s="184"/>
      <c r="C65" s="96"/>
      <c r="D65" s="3" t="str">
        <f>IF(Table3222148[[#This Row],[Course]]= "","",IFERROR(VLOOKUP(Table3222148[[#This Row],[Course]],COURSELIST[],2,FALSE),"Course Not Found!"))</f>
        <v/>
      </c>
      <c r="E65" s="3" t="str">
        <f>IF(Table3222148[[#This Row],[Course]]= "","",IFERROR(VLOOKUP(Table3222148[[#This Row],[Course]],COURSELIST[],3,FALSE),""))</f>
        <v/>
      </c>
      <c r="F65" s="3" t="str">
        <f>IF(Table3222148[[#This Row],[Course]]= "","",IFERROR(VLOOKUP(Table3222148[[#This Row],[Course]],COURSELIST[],4,FALSE),""))</f>
        <v/>
      </c>
      <c r="H65" s="3" t="str">
        <f>IF(Table3222148[[#This Row],[Course]]= "","",IFERROR(VLOOKUP(Table3222148[[#This Row],[Course]],COURSELIST[],6,FALSE),""))</f>
        <v/>
      </c>
      <c r="I65" s="3" t="str">
        <f>IF(Table3222148[[#This Row],[Course]]= "","",IFERROR(VLOOKUP(Table3222148[[#This Row],[Course]],COURSELIST[],7,FALSE),""))</f>
        <v/>
      </c>
      <c r="J65" s="3" t="str">
        <f>IF(Table3222148[[#This Row],[Course]]= "","",IFERROR(VLOOKUP(Table3222148[[#This Row],[Course]],COURSELIST[],8,FALSE),""))</f>
        <v/>
      </c>
      <c r="L65" s="184"/>
      <c r="M65" s="17"/>
      <c r="N65" s="3" t="str">
        <f>IF(Table14334450[[#This Row],[Course]]= "","",IFERROR(VLOOKUP(Table14334450[[#This Row],[Course]],COURSELIST[],2,FALSE),"Course Not Found!"))</f>
        <v/>
      </c>
      <c r="O65" s="3" t="str">
        <f>IF(Table14334450[[#This Row],[Course]]= "","",IFERROR(VLOOKUP(Table14334450[[#This Row],[Course]],COURSELIST[],3,FALSE),""))</f>
        <v/>
      </c>
      <c r="P65" s="3" t="str">
        <f>IF(Table14334450[[#This Row],[Course]]= "","",IFERROR(VLOOKUP(Table14334450[[#This Row],[Course]],COURSELIST[],4,FALSE),""))</f>
        <v/>
      </c>
      <c r="R65" s="3" t="str">
        <f>IF(Table14334450[[#This Row],[Course]]= "","",IFERROR(VLOOKUP(Table14334450[[#This Row],[Course]],COURSELIST[],6,FALSE),""))</f>
        <v/>
      </c>
      <c r="S65" s="3" t="str">
        <f>IF(Table14334450[[#This Row],[Course]]= "","",IFERROR(VLOOKUP(Table14334450[[#This Row],[Course]],COURSELIST[],7,FALSE),""))</f>
        <v/>
      </c>
      <c r="T65" s="5" t="str">
        <f>IF(Table14334450[[#This Row],[Course]]= "","",IFERROR(VLOOKUP(Table14334450[[#This Row],[Course]],COURSELIST[],8,FALSE),""))</f>
        <v/>
      </c>
      <c r="V65" s="184"/>
      <c r="W65" s="25"/>
      <c r="X65" s="3" t="str">
        <f>IF(Table9283949[[#This Row],[Course]]= "","",IFERROR(VLOOKUP(Table9283949[[#This Row],[Course]],COURSELIST[],2,FALSE),"Course Not Found!"))</f>
        <v/>
      </c>
      <c r="Y65" s="3" t="str">
        <f>IF(Table9283949[[#This Row],[Course]]= "","",IFERROR(VLOOKUP(Table9283949[[#This Row],[Course]],COURSELIST[],3,FALSE),""))</f>
        <v/>
      </c>
      <c r="Z65" s="3" t="str">
        <f>IF(Table9283949[[#This Row],[Course]]= "","",IFERROR(VLOOKUP(Table9283949[[#This Row],[Course]],COURSELIST[],4,FALSE),""))</f>
        <v/>
      </c>
      <c r="AB65" s="3" t="str">
        <f>IF(Table9283949[[#This Row],[Course]]= "","",IFERROR(VLOOKUP(Table9283949[[#This Row],[Course]],COURSELIST[],6,FALSE),""))</f>
        <v/>
      </c>
      <c r="AC65" s="3" t="str">
        <f>IF(Table9283949[[#This Row],[Course]]= "","",IFERROR(VLOOKUP(Table9283949[[#This Row],[Course]],COURSELIST[],7,FALSE),""))</f>
        <v/>
      </c>
      <c r="AD65" s="3" t="str">
        <f>IF(Table9283949[[#This Row],[Course]]= "","",IFERROR(VLOOKUP(Table9283949[[#This Row],[Course]],COURSELIST[],8,FALSE),""))</f>
        <v/>
      </c>
      <c r="AF65" s="184"/>
      <c r="AG65" s="25"/>
      <c r="AH65" s="3" t="str">
        <f>IF(Table92839495255[[#This Row],[Course]]= "","",IFERROR(VLOOKUP(Table92839495255[[#This Row],[Course]],COURSELIST[],2,FALSE),"Course Not Found!"))</f>
        <v/>
      </c>
      <c r="AI65" s="3" t="str">
        <f>IF(Table92839495255[[#This Row],[Course]]= "","",IFERROR(VLOOKUP(Table92839495255[[#This Row],[Course]],COURSELIST[],3,FALSE),""))</f>
        <v/>
      </c>
      <c r="AJ65" s="3" t="str">
        <f>IF(Table92839495255[[#This Row],[Course]]= "","",IFERROR(VLOOKUP(Table92839495255[[#This Row],[Course]],COURSELIST[],4,FALSE),""))</f>
        <v/>
      </c>
      <c r="AL65" s="3" t="str">
        <f>IF(Table92839495255[[#This Row],[Course]]= "","",IFERROR(VLOOKUP(Table92839495255[[#This Row],[Course]],COURSELIST[],6,FALSE),""))</f>
        <v/>
      </c>
      <c r="AM65" s="3" t="str">
        <f>IF(Table92839495255[[#This Row],[Course]]= "","",IFERROR(VLOOKUP(Table92839495255[[#This Row],[Course]],COURSELIST[],7,FALSE),""))</f>
        <v/>
      </c>
      <c r="AN65" s="3" t="str">
        <f>IF(Table92839495255[[#This Row],[Course]]= "","",IFERROR(VLOOKUP(Table92839495255[[#This Row],[Course]],COURSELIST[],8,FALSE),""))</f>
        <v/>
      </c>
    </row>
    <row r="66" spans="1:40" ht="15.75" hidden="1" outlineLevel="1" thickBot="1">
      <c r="B66" s="184"/>
      <c r="C66" s="25"/>
      <c r="D66" s="3" t="str">
        <f>IF(Table3222148[[#This Row],[Course]]= "","",IFERROR(VLOOKUP(Table3222148[[#This Row],[Course]],COURSELIST[],2,FALSE),"Course Not Found!"))</f>
        <v/>
      </c>
      <c r="E66" s="3" t="str">
        <f>IF(Table3222148[[#This Row],[Course]]= "","",IFERROR(VLOOKUP(Table3222148[[#This Row],[Course]],COURSELIST[],3,FALSE),""))</f>
        <v/>
      </c>
      <c r="F66" s="3" t="str">
        <f>IF(Table3222148[[#This Row],[Course]]= "","",IFERROR(VLOOKUP(Table3222148[[#This Row],[Course]],COURSELIST[],4,FALSE),""))</f>
        <v/>
      </c>
      <c r="H66" s="3" t="str">
        <f>IF(Table3222148[[#This Row],[Course]]= "","",IFERROR(VLOOKUP(Table3222148[[#This Row],[Course]],COURSELIST[],6,FALSE),""))</f>
        <v/>
      </c>
      <c r="I66" s="3" t="str">
        <f>IF(Table3222148[[#This Row],[Course]]= "","",IFERROR(VLOOKUP(Table3222148[[#This Row],[Course]],COURSELIST[],7,FALSE),""))</f>
        <v/>
      </c>
      <c r="J66" s="3" t="str">
        <f>IF(Table3222148[[#This Row],[Course]]= "","",IFERROR(VLOOKUP(Table3222148[[#This Row],[Course]],COURSELIST[],8,FALSE),""))</f>
        <v/>
      </c>
      <c r="L66" s="184"/>
      <c r="M66" s="16"/>
      <c r="N66" s="3" t="str">
        <f>IF(Table14334450[[#This Row],[Course]]= "","",IFERROR(VLOOKUP(Table14334450[[#This Row],[Course]],COURSELIST[],2,FALSE),"Course Not Found!"))</f>
        <v/>
      </c>
      <c r="O66" s="3" t="str">
        <f>IF(Table14334450[[#This Row],[Course]]= "","",IFERROR(VLOOKUP(Table14334450[[#This Row],[Course]],COURSELIST[],3,FALSE),""))</f>
        <v/>
      </c>
      <c r="P66" s="3" t="str">
        <f>IF(Table14334450[[#This Row],[Course]]= "","",IFERROR(VLOOKUP(Table14334450[[#This Row],[Course]],COURSELIST[],4,FALSE),""))</f>
        <v/>
      </c>
      <c r="R66" s="3" t="str">
        <f>IF(Table14334450[[#This Row],[Course]]= "","",IFERROR(VLOOKUP(Table14334450[[#This Row],[Course]],COURSELIST[],6,FALSE),""))</f>
        <v/>
      </c>
      <c r="S66" s="3" t="str">
        <f>IF(Table14334450[[#This Row],[Course]]= "","",IFERROR(VLOOKUP(Table14334450[[#This Row],[Course]],COURSELIST[],7,FALSE),""))</f>
        <v/>
      </c>
      <c r="T66" s="3" t="str">
        <f>IF(Table14334450[[#This Row],[Course]]= "","",IFERROR(VLOOKUP(Table14334450[[#This Row],[Course]],COURSELIST[],8,FALSE),""))</f>
        <v/>
      </c>
      <c r="V66" s="184"/>
      <c r="W66" s="25"/>
      <c r="X66" s="3" t="str">
        <f>IF(Table9283949[[#This Row],[Course]]= "","",IFERROR(VLOOKUP(Table9283949[[#This Row],[Course]],COURSELIST[],2,FALSE),"Course Not Found!"))</f>
        <v/>
      </c>
      <c r="Y66" s="3" t="str">
        <f>IF(Table9283949[[#This Row],[Course]]= "","",IFERROR(VLOOKUP(Table9283949[[#This Row],[Course]],COURSELIST[],3,FALSE),""))</f>
        <v/>
      </c>
      <c r="Z66" s="3" t="str">
        <f>IF(Table9283949[[#This Row],[Course]]= "","",IFERROR(VLOOKUP(Table9283949[[#This Row],[Course]],COURSELIST[],4,FALSE),""))</f>
        <v/>
      </c>
      <c r="AB66" s="3" t="str">
        <f>IF(Table9283949[[#This Row],[Course]]= "","",IFERROR(VLOOKUP(Table9283949[[#This Row],[Course]],COURSELIST[],6,FALSE),""))</f>
        <v/>
      </c>
      <c r="AC66" s="3" t="str">
        <f>IF(Table9283949[[#This Row],[Course]]= "","",IFERROR(VLOOKUP(Table9283949[[#This Row],[Course]],COURSELIST[],7,FALSE),""))</f>
        <v/>
      </c>
      <c r="AD66" s="3" t="str">
        <f>IF(Table9283949[[#This Row],[Course]]= "","",IFERROR(VLOOKUP(Table9283949[[#This Row],[Course]],COURSELIST[],8,FALSE),""))</f>
        <v/>
      </c>
      <c r="AF66" s="184"/>
      <c r="AG66" s="25"/>
      <c r="AH66" s="3" t="str">
        <f>IF(Table92839495255[[#This Row],[Course]]= "","",IFERROR(VLOOKUP(Table92839495255[[#This Row],[Course]],COURSELIST[],2,FALSE),"Course Not Found!"))</f>
        <v/>
      </c>
      <c r="AI66" s="3" t="str">
        <f>IF(Table92839495255[[#This Row],[Course]]= "","",IFERROR(VLOOKUP(Table92839495255[[#This Row],[Course]],COURSELIST[],3,FALSE),""))</f>
        <v/>
      </c>
      <c r="AJ66" s="3" t="str">
        <f>IF(Table92839495255[[#This Row],[Course]]= "","",IFERROR(VLOOKUP(Table92839495255[[#This Row],[Course]],COURSELIST[],4,FALSE),""))</f>
        <v/>
      </c>
      <c r="AL66" s="3" t="str">
        <f>IF(Table92839495255[[#This Row],[Course]]= "","",IFERROR(VLOOKUP(Table92839495255[[#This Row],[Course]],COURSELIST[],6,FALSE),""))</f>
        <v/>
      </c>
      <c r="AM66" s="3" t="str">
        <f>IF(Table92839495255[[#This Row],[Course]]= "","",IFERROR(VLOOKUP(Table92839495255[[#This Row],[Course]],COURSELIST[],7,FALSE),""))</f>
        <v/>
      </c>
      <c r="AN66" s="3" t="str">
        <f>IF(Table92839495255[[#This Row],[Course]]= "","",IFERROR(VLOOKUP(Table92839495255[[#This Row],[Course]],COURSELIST[],8,FALSE),""))</f>
        <v/>
      </c>
    </row>
    <row r="67" spans="1:40" ht="15.75" hidden="1" outlineLevel="1" thickBot="1">
      <c r="B67" s="184"/>
      <c r="C67" s="25"/>
      <c r="D67" s="3" t="str">
        <f>IF(Table3222148[[#This Row],[Course]]= "","",IFERROR(VLOOKUP(Table3222148[[#This Row],[Course]],COURSELIST[],2,FALSE),"Course Not Found!"))</f>
        <v/>
      </c>
      <c r="E67" s="3" t="str">
        <f>IF(Table3222148[[#This Row],[Course]]= "","",IFERROR(VLOOKUP(Table3222148[[#This Row],[Course]],COURSELIST[],3,FALSE),""))</f>
        <v/>
      </c>
      <c r="F67" s="3" t="str">
        <f>IF(Table3222148[[#This Row],[Course]]= "","",IFERROR(VLOOKUP(Table3222148[[#This Row],[Course]],COURSELIST[],4,FALSE),""))</f>
        <v/>
      </c>
      <c r="H67" s="3" t="str">
        <f>IF(Table3222148[[#This Row],[Course]]= "","",IFERROR(VLOOKUP(Table3222148[[#This Row],[Course]],COURSELIST[],6,FALSE),""))</f>
        <v/>
      </c>
      <c r="I67" s="3" t="str">
        <f>IF(Table3222148[[#This Row],[Course]]= "","",IFERROR(VLOOKUP(Table3222148[[#This Row],[Course]],COURSELIST[],7,FALSE),""))</f>
        <v/>
      </c>
      <c r="J67" s="3" t="str">
        <f>IF(Table3222148[[#This Row],[Course]]= "","",IFERROR(VLOOKUP(Table3222148[[#This Row],[Course]],COURSELIST[],8,FALSE),""))</f>
        <v/>
      </c>
      <c r="L67" s="184"/>
      <c r="M67" s="28"/>
      <c r="N67" s="3" t="str">
        <f>IF(Table14334450[[#This Row],[Course]]= "","",IFERROR(VLOOKUP(Table14334450[[#This Row],[Course]],COURSELIST[],2,FALSE),"Course Not Found!"))</f>
        <v/>
      </c>
      <c r="O67" s="3" t="str">
        <f>IF(Table14334450[[#This Row],[Course]]= "","",IFERROR(VLOOKUP(Table14334450[[#This Row],[Course]],COURSELIST[],3,FALSE),""))</f>
        <v/>
      </c>
      <c r="P67" s="3" t="str">
        <f>IF(Table14334450[[#This Row],[Course]]= "","",IFERROR(VLOOKUP(Table14334450[[#This Row],[Course]],COURSELIST[],4,FALSE),""))</f>
        <v/>
      </c>
      <c r="R67" s="3" t="str">
        <f>IF(Table14334450[[#This Row],[Course]]= "","",IFERROR(VLOOKUP(Table14334450[[#This Row],[Course]],COURSELIST[],6,FALSE),""))</f>
        <v/>
      </c>
      <c r="S67" s="3" t="str">
        <f>IF(Table14334450[[#This Row],[Course]]= "","",IFERROR(VLOOKUP(Table14334450[[#This Row],[Course]],COURSELIST[],7,FALSE),""))</f>
        <v/>
      </c>
      <c r="T67" s="3" t="str">
        <f>IF(Table14334450[[#This Row],[Course]]= "","",IFERROR(VLOOKUP(Table14334450[[#This Row],[Course]],COURSELIST[],8,FALSE),""))</f>
        <v/>
      </c>
      <c r="V67" s="184"/>
      <c r="W67" s="28"/>
      <c r="X67" s="3" t="str">
        <f>IF(Table9283949[[#This Row],[Course]]= "","",IFERROR(VLOOKUP(Table9283949[[#This Row],[Course]],COURSELIST[],2,FALSE),"Course Not Found!"))</f>
        <v/>
      </c>
      <c r="Y67" s="3" t="str">
        <f>IF(Table9283949[[#This Row],[Course]]= "","",IFERROR(VLOOKUP(Table9283949[[#This Row],[Course]],COURSELIST[],3,FALSE),""))</f>
        <v/>
      </c>
      <c r="Z67" s="3" t="str">
        <f>IF(Table9283949[[#This Row],[Course]]= "","",IFERROR(VLOOKUP(Table9283949[[#This Row],[Course]],COURSELIST[],4,FALSE),""))</f>
        <v/>
      </c>
      <c r="AB67" s="3" t="str">
        <f>IF(Table9283949[[#This Row],[Course]]= "","",IFERROR(VLOOKUP(Table9283949[[#This Row],[Course]],COURSELIST[],6,FALSE),""))</f>
        <v/>
      </c>
      <c r="AC67" s="3" t="str">
        <f>IF(Table9283949[[#This Row],[Course]]= "","",IFERROR(VLOOKUP(Table9283949[[#This Row],[Course]],COURSELIST[],7,FALSE),""))</f>
        <v/>
      </c>
      <c r="AD67" s="3" t="str">
        <f>IF(Table9283949[[#This Row],[Course]]= "","",IFERROR(VLOOKUP(Table9283949[[#This Row],[Course]],COURSELIST[],8,FALSE),""))</f>
        <v/>
      </c>
      <c r="AF67" s="184"/>
      <c r="AG67" s="28"/>
      <c r="AH67" s="3" t="str">
        <f>IF(Table92839495255[[#This Row],[Course]]= "","",IFERROR(VLOOKUP(Table92839495255[[#This Row],[Course]],COURSELIST[],2,FALSE),"Course Not Found!"))</f>
        <v/>
      </c>
      <c r="AI67" s="3" t="str">
        <f>IF(Table92839495255[[#This Row],[Course]]= "","",IFERROR(VLOOKUP(Table92839495255[[#This Row],[Course]],COURSELIST[],3,FALSE),""))</f>
        <v/>
      </c>
      <c r="AJ67" s="3" t="str">
        <f>IF(Table92839495255[[#This Row],[Course]]= "","",IFERROR(VLOOKUP(Table92839495255[[#This Row],[Course]],COURSELIST[],4,FALSE),""))</f>
        <v/>
      </c>
      <c r="AL67" s="3" t="str">
        <f>IF(Table92839495255[[#This Row],[Course]]= "","",IFERROR(VLOOKUP(Table92839495255[[#This Row],[Course]],COURSELIST[],6,FALSE),""))</f>
        <v/>
      </c>
      <c r="AM67" s="3" t="str">
        <f>IF(Table92839495255[[#This Row],[Course]]= "","",IFERROR(VLOOKUP(Table92839495255[[#This Row],[Course]],COURSELIST[],7,FALSE),""))</f>
        <v/>
      </c>
      <c r="AN67" s="3" t="str">
        <f>IF(Table92839495255[[#This Row],[Course]]= "","",IFERROR(VLOOKUP(Table92839495255[[#This Row],[Course]],COURSELIST[],8,FALSE),""))</f>
        <v/>
      </c>
    </row>
    <row r="68" spans="1:40" hidden="1" outlineLevel="1">
      <c r="C68" s="19"/>
      <c r="E68" s="3" t="s">
        <v>10</v>
      </c>
      <c r="F68" s="3">
        <f>SUM(F61:F67)</f>
        <v>0</v>
      </c>
      <c r="G68" s="4"/>
      <c r="I68" s="3" t="s">
        <v>27</v>
      </c>
      <c r="J68" s="4">
        <f>SUM(J61:J67)</f>
        <v>0</v>
      </c>
      <c r="O68" s="3" t="s">
        <v>10</v>
      </c>
      <c r="P68" s="3">
        <f>SUM(P61:P67)</f>
        <v>0</v>
      </c>
      <c r="S68" s="3" t="s">
        <v>27</v>
      </c>
      <c r="T68" s="3">
        <f>SUM(T61:T67)</f>
        <v>0</v>
      </c>
      <c r="Y68" s="3" t="s">
        <v>10</v>
      </c>
      <c r="Z68" s="3">
        <f>SUM(Z61:Z67)</f>
        <v>0</v>
      </c>
      <c r="AC68" s="3" t="s">
        <v>27</v>
      </c>
      <c r="AD68" s="3">
        <f>SUM(AD61:AD67)</f>
        <v>0</v>
      </c>
      <c r="AI68" s="3" t="s">
        <v>10</v>
      </c>
      <c r="AJ68" s="3">
        <f>SUM(AJ61:AJ67)</f>
        <v>0</v>
      </c>
      <c r="AM68" s="3" t="s">
        <v>27</v>
      </c>
      <c r="AN68" s="3">
        <f>SUM(AN61:AN67)</f>
        <v>0</v>
      </c>
    </row>
    <row r="69" spans="1:40" hidden="1" outlineLevel="1">
      <c r="C69" s="19"/>
      <c r="E69" s="3" t="s">
        <v>18</v>
      </c>
      <c r="F69" s="3">
        <f>F68+AJ55</f>
        <v>167</v>
      </c>
      <c r="G69" s="4"/>
      <c r="I69" s="3" t="s">
        <v>17</v>
      </c>
      <c r="J69" s="4">
        <f>J68+AN55</f>
        <v>238.58</v>
      </c>
      <c r="O69" s="3" t="s">
        <v>18</v>
      </c>
      <c r="P69" s="3">
        <f>P68+F69</f>
        <v>167</v>
      </c>
      <c r="S69" s="3" t="s">
        <v>17</v>
      </c>
      <c r="T69" s="3">
        <f>T68+J69</f>
        <v>238.58</v>
      </c>
      <c r="Y69" s="3" t="s">
        <v>18</v>
      </c>
      <c r="Z69" s="3">
        <f>Z68+P69</f>
        <v>167</v>
      </c>
      <c r="AC69" s="3" t="s">
        <v>17</v>
      </c>
      <c r="AD69" s="3">
        <f>AD68+T69</f>
        <v>238.58</v>
      </c>
      <c r="AI69" s="3" t="s">
        <v>18</v>
      </c>
      <c r="AJ69" s="3">
        <f>AJ68+Z69</f>
        <v>167</v>
      </c>
      <c r="AM69" s="3" t="s">
        <v>17</v>
      </c>
      <c r="AN69" s="3">
        <f>AN68+AD69</f>
        <v>238.58</v>
      </c>
    </row>
    <row r="70" spans="1:40" hidden="1" outlineLevel="1">
      <c r="C70" s="19"/>
      <c r="E70" s="5" t="s">
        <v>19</v>
      </c>
      <c r="F70" s="5">
        <f>F68+AJ56</f>
        <v>153</v>
      </c>
      <c r="G70" s="24"/>
      <c r="I70" s="3" t="s">
        <v>14</v>
      </c>
      <c r="J70" s="4" t="e">
        <f>J68/F68</f>
        <v>#DIV/0!</v>
      </c>
      <c r="O70" s="5" t="s">
        <v>19</v>
      </c>
      <c r="P70" s="5">
        <f>P68+F70</f>
        <v>153</v>
      </c>
      <c r="Q70" s="5"/>
      <c r="S70" s="3" t="s">
        <v>14</v>
      </c>
      <c r="T70" s="3" t="e">
        <f>T68/P68</f>
        <v>#DIV/0!</v>
      </c>
      <c r="W70" s="5"/>
      <c r="X70" s="5"/>
      <c r="Y70" s="5" t="s">
        <v>19</v>
      </c>
      <c r="Z70" s="5">
        <f>Z68+P70</f>
        <v>153</v>
      </c>
      <c r="AA70" s="5"/>
      <c r="AC70" s="3" t="s">
        <v>14</v>
      </c>
      <c r="AD70" s="3" t="e">
        <f>AD68/Z68</f>
        <v>#DIV/0!</v>
      </c>
      <c r="AG70" s="5"/>
      <c r="AH70" s="5"/>
      <c r="AI70" s="5" t="s">
        <v>19</v>
      </c>
      <c r="AJ70" s="5">
        <f>AJ68+Z70</f>
        <v>153</v>
      </c>
      <c r="AK70" s="5"/>
      <c r="AM70" s="3" t="s">
        <v>14</v>
      </c>
      <c r="AN70" s="3" t="e">
        <f>AN68/AJ68</f>
        <v>#DIV/0!</v>
      </c>
    </row>
    <row r="71" spans="1:40" ht="21.75" hidden="1" outlineLevel="1" thickBot="1">
      <c r="C71" s="19"/>
      <c r="G71" s="4"/>
      <c r="H71" s="23"/>
      <c r="I71" s="5" t="s">
        <v>16</v>
      </c>
      <c r="J71" s="24">
        <f>J69/F70</f>
        <v>1.5593464052287582</v>
      </c>
      <c r="M71" s="5"/>
      <c r="N71" s="5"/>
      <c r="S71" s="5" t="s">
        <v>16</v>
      </c>
      <c r="T71" s="5">
        <f>T69/P70</f>
        <v>1.5593464052287582</v>
      </c>
      <c r="AC71" s="5" t="s">
        <v>16</v>
      </c>
      <c r="AD71" s="5">
        <f>AD69/Z70</f>
        <v>1.5593464052287582</v>
      </c>
      <c r="AM71" s="5" t="s">
        <v>16</v>
      </c>
      <c r="AN71" s="5">
        <f>AN69/AJ70</f>
        <v>1.5593464052287582</v>
      </c>
    </row>
    <row r="72" spans="1:40" ht="21.75" collapsed="1" thickBot="1">
      <c r="A72" s="87" t="s">
        <v>582</v>
      </c>
      <c r="D72" s="94"/>
      <c r="J72" s="23"/>
    </row>
    <row r="73" spans="1:40" ht="23.25" hidden="1" customHeight="1" outlineLevel="1" thickBot="1">
      <c r="B73" s="184" t="s">
        <v>597</v>
      </c>
      <c r="C73" s="190" t="s">
        <v>583</v>
      </c>
      <c r="D73" s="191"/>
      <c r="E73" s="192"/>
      <c r="F73" s="193" t="str">
        <f>GradeStatus(Z69)&amp;"--"&amp;Z69&amp;" Credits "&amp;F84&amp;" In Progress"</f>
        <v>Senior--167 Credits 153 In Progress</v>
      </c>
      <c r="G73" s="194"/>
      <c r="H73" s="194"/>
      <c r="I73" s="194"/>
      <c r="J73" s="194"/>
      <c r="L73" s="184" t="s">
        <v>94</v>
      </c>
      <c r="M73" s="195" t="s">
        <v>584</v>
      </c>
      <c r="N73" s="196"/>
      <c r="O73" s="197"/>
      <c r="P73" s="182" t="str">
        <f>GradeStatus(F84)&amp;"--"&amp;F84&amp;" Credits "&amp;P84&amp;" In Progress"</f>
        <v>Senior--153 Credits 153 In Progress</v>
      </c>
      <c r="Q73" s="183"/>
      <c r="R73" s="183"/>
      <c r="S73" s="183"/>
      <c r="T73" s="183"/>
      <c r="V73" s="184" t="s">
        <v>95</v>
      </c>
      <c r="W73" s="185" t="s">
        <v>585</v>
      </c>
      <c r="X73" s="186"/>
      <c r="Y73" s="187"/>
      <c r="Z73" s="188" t="str">
        <f>GradeStatus(P84)&amp;"--"&amp;P84&amp;" Credits "&amp;Z84&amp;" In Progress"</f>
        <v>Senior--153 Credits 153 In Progress</v>
      </c>
      <c r="AA73" s="189"/>
      <c r="AB73" s="189"/>
      <c r="AC73" s="189"/>
      <c r="AD73" s="189"/>
      <c r="AF73" s="184" t="s">
        <v>96</v>
      </c>
      <c r="AG73" s="177" t="s">
        <v>586</v>
      </c>
      <c r="AH73" s="178"/>
      <c r="AI73" s="179"/>
      <c r="AJ73" s="180" t="str">
        <f>GradeStatus(Z83)&amp;"--"&amp;Z83&amp;" Credits "&amp;AJ83&amp;" In Progress"</f>
        <v>Senior--167 Credits 167 In Progress</v>
      </c>
      <c r="AK73" s="181"/>
      <c r="AL73" s="181"/>
      <c r="AM73" s="181"/>
      <c r="AN73" s="181"/>
    </row>
    <row r="74" spans="1:40" ht="15.75" hidden="1" outlineLevel="1" thickBot="1">
      <c r="B74" s="184"/>
      <c r="C74" s="3" t="s">
        <v>20</v>
      </c>
      <c r="D74" s="3" t="s">
        <v>24</v>
      </c>
      <c r="E74" s="3" t="s">
        <v>25</v>
      </c>
      <c r="F74" s="3" t="s">
        <v>10</v>
      </c>
      <c r="G74" s="3" t="s">
        <v>26</v>
      </c>
      <c r="H74" s="3" t="s">
        <v>12</v>
      </c>
      <c r="I74" s="3" t="s">
        <v>36</v>
      </c>
      <c r="J74" s="3" t="s">
        <v>28</v>
      </c>
      <c r="L74" s="184"/>
      <c r="M74" s="3" t="s">
        <v>20</v>
      </c>
      <c r="N74" s="3" t="s">
        <v>24</v>
      </c>
      <c r="O74" s="3" t="s">
        <v>25</v>
      </c>
      <c r="P74" s="3" t="s">
        <v>10</v>
      </c>
      <c r="Q74" s="3" t="s">
        <v>26</v>
      </c>
      <c r="R74" s="3" t="s">
        <v>12</v>
      </c>
      <c r="S74" s="3" t="s">
        <v>36</v>
      </c>
      <c r="T74" s="3" t="s">
        <v>28</v>
      </c>
      <c r="V74" s="184"/>
      <c r="W74" s="3" t="s">
        <v>20</v>
      </c>
      <c r="X74" s="3" t="s">
        <v>24</v>
      </c>
      <c r="Y74" s="3" t="s">
        <v>25</v>
      </c>
      <c r="Z74" s="3" t="s">
        <v>10</v>
      </c>
      <c r="AA74" s="3" t="s">
        <v>26</v>
      </c>
      <c r="AB74" s="3" t="s">
        <v>12</v>
      </c>
      <c r="AC74" s="3" t="s">
        <v>36</v>
      </c>
      <c r="AD74" s="3" t="s">
        <v>28</v>
      </c>
      <c r="AF74" s="184"/>
      <c r="AG74" s="3" t="s">
        <v>20</v>
      </c>
      <c r="AH74" s="3" t="s">
        <v>24</v>
      </c>
      <c r="AI74" s="3" t="s">
        <v>25</v>
      </c>
      <c r="AJ74" s="3" t="s">
        <v>10</v>
      </c>
      <c r="AK74" s="3" t="s">
        <v>26</v>
      </c>
      <c r="AL74" s="3" t="s">
        <v>12</v>
      </c>
      <c r="AM74" s="3" t="s">
        <v>36</v>
      </c>
      <c r="AN74" s="3" t="s">
        <v>28</v>
      </c>
    </row>
    <row r="75" spans="1:40" ht="15.75" hidden="1" outlineLevel="1" thickBot="1">
      <c r="B75" s="184"/>
      <c r="C75" s="97"/>
      <c r="D75" s="3" t="str">
        <f>IF(Table32221484[[#This Row],[Course]]= "","",IFERROR(VLOOKUP(Table32221484[[#This Row],[Course]],COURSELIST[],2,FALSE),"Course Not Found!"))</f>
        <v/>
      </c>
      <c r="E75" s="3" t="str">
        <f>IF(Table32221484[[#This Row],[Course]]= "","",IFERROR(VLOOKUP(Table32221484[[#This Row],[Course]],COURSELIST[],3,FALSE),""))</f>
        <v/>
      </c>
      <c r="F75" s="3" t="str">
        <f>IF(Table32221484[[#This Row],[Course]]= "","",IFERROR(VLOOKUP(Table32221484[[#This Row],[Course]],COURSELIST[],4,FALSE),""))</f>
        <v/>
      </c>
      <c r="H75" s="3" t="str">
        <f>IF(Table32221484[[#This Row],[Course]]= "","",IFERROR(VLOOKUP(Table32221484[[#This Row],[Course]],COURSELIST[],6,FALSE),""))</f>
        <v/>
      </c>
      <c r="I75" s="3" t="str">
        <f>IF(Table32221484[[#This Row],[Course]]= "","",IFERROR(VLOOKUP(Table32221484[[#This Row],[Course]],COURSELIST[],7,FALSE),""))</f>
        <v/>
      </c>
      <c r="J75" s="3" t="str">
        <f>IF(Table32221484[[#This Row],[Course]]= "","",IFERROR(VLOOKUP(Table32221484[[#This Row],[Course]],COURSELIST[],8,FALSE),""))</f>
        <v/>
      </c>
      <c r="L75" s="184"/>
      <c r="M75" s="27"/>
      <c r="N75" s="3" t="str">
        <f>IF(Table143344506[[#This Row],[Course]]= "","",IFERROR(VLOOKUP(Table143344506[[#This Row],[Course]],COURSELIST[],2,FALSE),"Course Not Found!"))</f>
        <v/>
      </c>
      <c r="O75" s="3" t="str">
        <f>IF(Table143344506[[#This Row],[Course]]= "","",IFERROR(VLOOKUP(Table143344506[[#This Row],[Course]],COURSELIST[],3,FALSE),""))</f>
        <v/>
      </c>
      <c r="P75" s="3" t="str">
        <f>IF(Table143344506[[#This Row],[Course]]= "","",IFERROR(VLOOKUP(Table143344506[[#This Row],[Course]],COURSELIST[],4,FALSE),""))</f>
        <v/>
      </c>
      <c r="R75" s="3" t="str">
        <f>IF(Table143344506[[#This Row],[Course]]= "","",IFERROR(VLOOKUP(Table143344506[[#This Row],[Course]],COURSELIST[],6,FALSE),""))</f>
        <v/>
      </c>
      <c r="S75" s="3" t="str">
        <f>IF(Table143344506[[#This Row],[Course]]= "","",IFERROR(VLOOKUP(Table143344506[[#This Row],[Course]],COURSELIST[],7,FALSE),""))</f>
        <v/>
      </c>
      <c r="T75" s="3" t="str">
        <f>IF(Table143344506[[#This Row],[Course]]= "","",IFERROR(VLOOKUP(Table143344506[[#This Row],[Course]],COURSELIST[],8,FALSE),""))</f>
        <v/>
      </c>
      <c r="V75" s="184"/>
      <c r="W75" s="25"/>
      <c r="X75" s="3" t="str">
        <f>IF(Table92839495[[#This Row],[Course]]= "","",IFERROR(VLOOKUP(Table92839495[[#This Row],[Course]],COURSELIST[],2,FALSE),"Course Not Found!"))</f>
        <v/>
      </c>
      <c r="Y75" s="3" t="str">
        <f>IF(Table92839495[[#This Row],[Course]]= "","",IFERROR(VLOOKUP(Table92839495[[#This Row],[Course]],COURSELIST[],3,FALSE),""))</f>
        <v/>
      </c>
      <c r="Z75" s="3" t="str">
        <f>IF(Table92839495[[#This Row],[Course]]= "","",IFERROR(VLOOKUP(Table92839495[[#This Row],[Course]],COURSELIST[],4,FALSE),""))</f>
        <v/>
      </c>
      <c r="AB75" s="3" t="str">
        <f>IF(Table92839495[[#This Row],[Course]]= "","",IFERROR(VLOOKUP(Table92839495[[#This Row],[Course]],COURSELIST[],6,FALSE),""))</f>
        <v/>
      </c>
      <c r="AC75" s="3" t="str">
        <f>IF(Table92839495[[#This Row],[Course]]= "","",IFERROR(VLOOKUP(Table92839495[[#This Row],[Course]],COURSELIST[],7,FALSE),""))</f>
        <v/>
      </c>
      <c r="AD75" s="3" t="str">
        <f>IF(Table92839495[[#This Row],[Course]]= "","",IFERROR(VLOOKUP(Table92839495[[#This Row],[Course]],COURSELIST[],8,FALSE),""))</f>
        <v/>
      </c>
      <c r="AF75" s="184"/>
      <c r="AG75" s="25"/>
      <c r="AH75" s="3" t="str">
        <f>IF(Table928394952557[[#This Row],[Course]]= "","",IFERROR(VLOOKUP(Table928394952557[[#This Row],[Course]],COURSELIST[],2,FALSE),"Course Not Found!"))</f>
        <v/>
      </c>
      <c r="AI75" s="3" t="str">
        <f>IF(Table928394952557[[#This Row],[Course]]= "","",IFERROR(VLOOKUP(Table928394952557[[#This Row],[Course]],COURSELIST[],3,FALSE),""))</f>
        <v/>
      </c>
      <c r="AJ75" s="3" t="str">
        <f>IF(Table928394952557[[#This Row],[Course]]= "","",IFERROR(VLOOKUP(Table928394952557[[#This Row],[Course]],COURSELIST[],4,FALSE),""))</f>
        <v/>
      </c>
      <c r="AL75" s="3" t="str">
        <f>IF(Table928394952557[[#This Row],[Course]]= "","",IFERROR(VLOOKUP(Table928394952557[[#This Row],[Course]],COURSELIST[],6,FALSE),""))</f>
        <v/>
      </c>
      <c r="AM75" s="3" t="str">
        <f>IF(Table928394952557[[#This Row],[Course]]= "","",IFERROR(VLOOKUP(Table928394952557[[#This Row],[Course]],COURSELIST[],7,FALSE),""))</f>
        <v/>
      </c>
      <c r="AN75" s="3" t="str">
        <f>IF(Table928394952557[[#This Row],[Course]]= "","",IFERROR(VLOOKUP(Table928394952557[[#This Row],[Course]],COURSELIST[],8,FALSE),""))</f>
        <v/>
      </c>
    </row>
    <row r="76" spans="1:40" ht="15.75" hidden="1" outlineLevel="1" thickBot="1">
      <c r="B76" s="184"/>
      <c r="C76" s="96"/>
      <c r="D76" s="3" t="str">
        <f>IF(Table32221484[[#This Row],[Course]]= "","",IFERROR(VLOOKUP(Table32221484[[#This Row],[Course]],COURSELIST[],2,FALSE),"Course Not Found!"))</f>
        <v/>
      </c>
      <c r="E76" s="3" t="str">
        <f>IF(Table32221484[[#This Row],[Course]]= "","",IFERROR(VLOOKUP(Table32221484[[#This Row],[Course]],COURSELIST[],3,FALSE),""))</f>
        <v/>
      </c>
      <c r="F76" s="3" t="str">
        <f>IF(Table32221484[[#This Row],[Course]]= "","",IFERROR(VLOOKUP(Table32221484[[#This Row],[Course]],COURSELIST[],4,FALSE),""))</f>
        <v/>
      </c>
      <c r="H76" s="3" t="str">
        <f>IF(Table32221484[[#This Row],[Course]]= "","",IFERROR(VLOOKUP(Table32221484[[#This Row],[Course]],COURSELIST[],6,FALSE),""))</f>
        <v/>
      </c>
      <c r="I76" s="3" t="str">
        <f>IF(Table32221484[[#This Row],[Course]]= "","",IFERROR(VLOOKUP(Table32221484[[#This Row],[Course]],COURSELIST[],7,FALSE),""))</f>
        <v/>
      </c>
      <c r="J76" s="3" t="str">
        <f>IF(Table32221484[[#This Row],[Course]]= "","",IFERROR(VLOOKUP(Table32221484[[#This Row],[Course]],COURSELIST[],8,FALSE),""))</f>
        <v/>
      </c>
      <c r="K76" s="5"/>
      <c r="L76" s="184"/>
      <c r="M76" s="25"/>
      <c r="N76" s="3" t="str">
        <f>IF(Table143344506[[#This Row],[Course]]= "","",IFERROR(VLOOKUP(Table143344506[[#This Row],[Course]],COURSELIST[],2,FALSE),"Course Not Found!"))</f>
        <v/>
      </c>
      <c r="O76" s="3" t="str">
        <f>IF(Table143344506[[#This Row],[Course]]= "","",IFERROR(VLOOKUP(Table143344506[[#This Row],[Course]],COURSELIST[],3,FALSE),""))</f>
        <v/>
      </c>
      <c r="P76" s="3" t="str">
        <f>IF(Table143344506[[#This Row],[Course]]= "","",IFERROR(VLOOKUP(Table143344506[[#This Row],[Course]],COURSELIST[],4,FALSE),""))</f>
        <v/>
      </c>
      <c r="R76" s="3" t="str">
        <f>IF(Table143344506[[#This Row],[Course]]= "","",IFERROR(VLOOKUP(Table143344506[[#This Row],[Course]],COURSELIST[],6,FALSE),""))</f>
        <v/>
      </c>
      <c r="S76" s="3" t="str">
        <f>IF(Table143344506[[#This Row],[Course]]= "","",IFERROR(VLOOKUP(Table143344506[[#This Row],[Course]],COURSELIST[],7,FALSE),""))</f>
        <v/>
      </c>
      <c r="T76" s="3" t="str">
        <f>IF(Table143344506[[#This Row],[Course]]= "","",IFERROR(VLOOKUP(Table143344506[[#This Row],[Course]],COURSELIST[],8,FALSE),""))</f>
        <v/>
      </c>
      <c r="U76" s="5"/>
      <c r="V76" s="184"/>
      <c r="W76" s="25"/>
      <c r="X76" s="3" t="str">
        <f>IF(Table92839495[[#This Row],[Course]]= "","",IFERROR(VLOOKUP(Table92839495[[#This Row],[Course]],COURSELIST[],2,FALSE),"Course Not Found!"))</f>
        <v/>
      </c>
      <c r="Y76" s="3" t="str">
        <f>IF(Table92839495[[#This Row],[Course]]= "","",IFERROR(VLOOKUP(Table92839495[[#This Row],[Course]],COURSELIST[],3,FALSE),""))</f>
        <v/>
      </c>
      <c r="Z76" s="3" t="str">
        <f>IF(Table92839495[[#This Row],[Course]]= "","",IFERROR(VLOOKUP(Table92839495[[#This Row],[Course]],COURSELIST[],4,FALSE),""))</f>
        <v/>
      </c>
      <c r="AB76" s="3" t="str">
        <f>IF(Table92839495[[#This Row],[Course]]= "","",IFERROR(VLOOKUP(Table92839495[[#This Row],[Course]],COURSELIST[],6,FALSE),""))</f>
        <v/>
      </c>
      <c r="AC76" s="3" t="str">
        <f>IF(Table92839495[[#This Row],[Course]]= "","",IFERROR(VLOOKUP(Table92839495[[#This Row],[Course]],COURSELIST[],7,FALSE),""))</f>
        <v/>
      </c>
      <c r="AD76" s="3" t="str">
        <f>IF(Table92839495[[#This Row],[Course]]= "","",IFERROR(VLOOKUP(Table92839495[[#This Row],[Course]],COURSELIST[],8,FALSE),""))</f>
        <v/>
      </c>
      <c r="AF76" s="184"/>
      <c r="AG76" s="25"/>
      <c r="AH76" s="3" t="str">
        <f>IF(Table928394952557[[#This Row],[Course]]= "","",IFERROR(VLOOKUP(Table928394952557[[#This Row],[Course]],COURSELIST[],2,FALSE),"Course Not Found!"))</f>
        <v/>
      </c>
      <c r="AI76" s="3" t="str">
        <f>IF(Table928394952557[[#This Row],[Course]]= "","",IFERROR(VLOOKUP(Table928394952557[[#This Row],[Course]],COURSELIST[],3,FALSE),""))</f>
        <v/>
      </c>
      <c r="AJ76" s="3" t="str">
        <f>IF(Table928394952557[[#This Row],[Course]]= "","",IFERROR(VLOOKUP(Table928394952557[[#This Row],[Course]],COURSELIST[],4,FALSE),""))</f>
        <v/>
      </c>
      <c r="AL76" s="3" t="str">
        <f>IF(Table928394952557[[#This Row],[Course]]= "","",IFERROR(VLOOKUP(Table928394952557[[#This Row],[Course]],COURSELIST[],6,FALSE),""))</f>
        <v/>
      </c>
      <c r="AM76" s="3" t="str">
        <f>IF(Table928394952557[[#This Row],[Course]]= "","",IFERROR(VLOOKUP(Table928394952557[[#This Row],[Course]],COURSELIST[],7,FALSE),""))</f>
        <v/>
      </c>
      <c r="AN76" s="3" t="str">
        <f>IF(Table928394952557[[#This Row],[Course]]= "","",IFERROR(VLOOKUP(Table928394952557[[#This Row],[Course]],COURSELIST[],8,FALSE),""))</f>
        <v/>
      </c>
    </row>
    <row r="77" spans="1:40" ht="15.75" hidden="1" outlineLevel="1" thickBot="1">
      <c r="B77" s="184"/>
      <c r="C77" s="96"/>
      <c r="D77" s="3" t="str">
        <f>IF(Table32221484[[#This Row],[Course]]= "","",IFERROR(VLOOKUP(Table32221484[[#This Row],[Course]],COURSELIST[],2,FALSE),"Course Not Found!"))</f>
        <v/>
      </c>
      <c r="E77" s="3" t="str">
        <f>IF(Table32221484[[#This Row],[Course]]= "","",IFERROR(VLOOKUP(Table32221484[[#This Row],[Course]],COURSELIST[],3,FALSE),""))</f>
        <v/>
      </c>
      <c r="F77" s="3" t="str">
        <f>IF(Table32221484[[#This Row],[Course]]= "","",IFERROR(VLOOKUP(Table32221484[[#This Row],[Course]],COURSELIST[],4,FALSE),""))</f>
        <v/>
      </c>
      <c r="H77" s="3" t="str">
        <f>IF(Table32221484[[#This Row],[Course]]= "","",IFERROR(VLOOKUP(Table32221484[[#This Row],[Course]],COURSELIST[],6,FALSE),""))</f>
        <v/>
      </c>
      <c r="I77" s="3" t="str">
        <f>IF(Table32221484[[#This Row],[Course]]= "","",IFERROR(VLOOKUP(Table32221484[[#This Row],[Course]],COURSELIST[],7,FALSE),""))</f>
        <v/>
      </c>
      <c r="J77" s="3" t="str">
        <f>IF(Table32221484[[#This Row],[Course]]= "","",IFERROR(VLOOKUP(Table32221484[[#This Row],[Course]],COURSELIST[],8,FALSE),""))</f>
        <v/>
      </c>
      <c r="L77" s="184"/>
      <c r="M77" s="25"/>
      <c r="N77" s="3" t="str">
        <f>IF(Table143344506[[#This Row],[Course]]= "","",IFERROR(VLOOKUP(Table143344506[[#This Row],[Course]],COURSELIST[],2,FALSE),"Course Not Found!"))</f>
        <v/>
      </c>
      <c r="O77" s="3" t="str">
        <f>IF(Table143344506[[#This Row],[Course]]= "","",IFERROR(VLOOKUP(Table143344506[[#This Row],[Course]],COURSELIST[],3,FALSE),""))</f>
        <v/>
      </c>
      <c r="P77" s="3" t="str">
        <f>IF(Table143344506[[#This Row],[Course]]= "","",IFERROR(VLOOKUP(Table143344506[[#This Row],[Course]],COURSELIST[],4,FALSE),""))</f>
        <v/>
      </c>
      <c r="R77" s="3" t="str">
        <f>IF(Table143344506[[#This Row],[Course]]= "","",IFERROR(VLOOKUP(Table143344506[[#This Row],[Course]],COURSELIST[],6,FALSE),""))</f>
        <v/>
      </c>
      <c r="S77" s="3" t="str">
        <f>IF(Table143344506[[#This Row],[Course]]= "","",IFERROR(VLOOKUP(Table143344506[[#This Row],[Course]],COURSELIST[],7,FALSE),""))</f>
        <v/>
      </c>
      <c r="T77" s="3" t="str">
        <f>IF(Table143344506[[#This Row],[Course]]= "","",IFERROR(VLOOKUP(Table143344506[[#This Row],[Course]],COURSELIST[],8,FALSE),""))</f>
        <v/>
      </c>
      <c r="V77" s="184"/>
      <c r="W77" s="16"/>
      <c r="X77" s="3" t="str">
        <f>IF(Table92839495[[#This Row],[Course]]= "","",IFERROR(VLOOKUP(Table92839495[[#This Row],[Course]],COURSELIST[],2,FALSE),"Course Not Found!"))</f>
        <v/>
      </c>
      <c r="Y77" s="3" t="str">
        <f>IF(Table92839495[[#This Row],[Course]]= "","",IFERROR(VLOOKUP(Table92839495[[#This Row],[Course]],COURSELIST[],3,FALSE),""))</f>
        <v/>
      </c>
      <c r="Z77" s="3" t="str">
        <f>IF(Table92839495[[#This Row],[Course]]= "","",IFERROR(VLOOKUP(Table92839495[[#This Row],[Course]],COURSELIST[],4,FALSE),""))</f>
        <v/>
      </c>
      <c r="AB77" s="3" t="str">
        <f>IF(Table92839495[[#This Row],[Course]]= "","",IFERROR(VLOOKUP(Table92839495[[#This Row],[Course]],COURSELIST[],6,FALSE),""))</f>
        <v/>
      </c>
      <c r="AC77" s="3" t="str">
        <f>IF(Table92839495[[#This Row],[Course]]= "","",IFERROR(VLOOKUP(Table92839495[[#This Row],[Course]],COURSELIST[],7,FALSE),""))</f>
        <v/>
      </c>
      <c r="AD77" s="3" t="str">
        <f>IF(Table92839495[[#This Row],[Course]]= "","",IFERROR(VLOOKUP(Table92839495[[#This Row],[Course]],COURSELIST[],8,FALSE),""))</f>
        <v/>
      </c>
      <c r="AF77" s="184"/>
      <c r="AG77" s="16"/>
      <c r="AH77" s="3" t="str">
        <f>IF(Table928394952557[[#This Row],[Course]]= "","",IFERROR(VLOOKUP(Table928394952557[[#This Row],[Course]],COURSELIST[],2,FALSE),"Course Not Found!"))</f>
        <v/>
      </c>
      <c r="AI77" s="3" t="str">
        <f>IF(Table928394952557[[#This Row],[Course]]= "","",IFERROR(VLOOKUP(Table928394952557[[#This Row],[Course]],COURSELIST[],3,FALSE),""))</f>
        <v/>
      </c>
      <c r="AJ77" s="3" t="str">
        <f>IF(Table928394952557[[#This Row],[Course]]= "","",IFERROR(VLOOKUP(Table928394952557[[#This Row],[Course]],COURSELIST[],4,FALSE),""))</f>
        <v/>
      </c>
      <c r="AL77" s="3" t="str">
        <f>IF(Table928394952557[[#This Row],[Course]]= "","",IFERROR(VLOOKUP(Table928394952557[[#This Row],[Course]],COURSELIST[],6,FALSE),""))</f>
        <v/>
      </c>
      <c r="AM77" s="3" t="str">
        <f>IF(Table928394952557[[#This Row],[Course]]= "","",IFERROR(VLOOKUP(Table928394952557[[#This Row],[Course]],COURSELIST[],7,FALSE),""))</f>
        <v/>
      </c>
      <c r="AN77" s="3" t="str">
        <f>IF(Table928394952557[[#This Row],[Course]]= "","",IFERROR(VLOOKUP(Table928394952557[[#This Row],[Course]],COURSELIST[],8,FALSE),""))</f>
        <v/>
      </c>
    </row>
    <row r="78" spans="1:40" ht="15.75" hidden="1" outlineLevel="1" thickBot="1">
      <c r="B78" s="184"/>
      <c r="C78" s="96"/>
      <c r="D78" s="3" t="str">
        <f>IF(Table32221484[[#This Row],[Course]]= "","",IFERROR(VLOOKUP(Table32221484[[#This Row],[Course]],COURSELIST[],2,FALSE),"Course Not Found!"))</f>
        <v/>
      </c>
      <c r="E78" s="3" t="str">
        <f>IF(Table32221484[[#This Row],[Course]]= "","",IFERROR(VLOOKUP(Table32221484[[#This Row],[Course]],COURSELIST[],3,FALSE),""))</f>
        <v/>
      </c>
      <c r="F78" s="3" t="str">
        <f>IF(Table32221484[[#This Row],[Course]]= "","",IFERROR(VLOOKUP(Table32221484[[#This Row],[Course]],COURSELIST[],4,FALSE),""))</f>
        <v/>
      </c>
      <c r="H78" s="3" t="str">
        <f>IF(Table32221484[[#This Row],[Course]]= "","",IFERROR(VLOOKUP(Table32221484[[#This Row],[Course]],COURSELIST[],6,FALSE),""))</f>
        <v/>
      </c>
      <c r="I78" s="3" t="str">
        <f>IF(Table32221484[[#This Row],[Course]]= "","",IFERROR(VLOOKUP(Table32221484[[#This Row],[Course]],COURSELIST[],7,FALSE),""))</f>
        <v/>
      </c>
      <c r="J78" s="3" t="str">
        <f>IF(Table32221484[[#This Row],[Course]]= "","",IFERROR(VLOOKUP(Table32221484[[#This Row],[Course]],COURSELIST[],8,FALSE),""))</f>
        <v/>
      </c>
      <c r="L78" s="184"/>
      <c r="M78" s="25"/>
      <c r="N78" s="3" t="str">
        <f>IF(Table143344506[[#This Row],[Course]]= "","",IFERROR(VLOOKUP(Table143344506[[#This Row],[Course]],COURSELIST[],2,FALSE),"Course Not Found!"))</f>
        <v/>
      </c>
      <c r="O78" s="3" t="str">
        <f>IF(Table143344506[[#This Row],[Course]]= "","",IFERROR(VLOOKUP(Table143344506[[#This Row],[Course]],COURSELIST[],3,FALSE),""))</f>
        <v/>
      </c>
      <c r="P78" s="3" t="str">
        <f>IF(Table143344506[[#This Row],[Course]]= "","",IFERROR(VLOOKUP(Table143344506[[#This Row],[Course]],COURSELIST[],4,FALSE),""))</f>
        <v/>
      </c>
      <c r="R78" s="3" t="str">
        <f>IF(Table143344506[[#This Row],[Course]]= "","",IFERROR(VLOOKUP(Table143344506[[#This Row],[Course]],COURSELIST[],6,FALSE),""))</f>
        <v/>
      </c>
      <c r="S78" s="3" t="str">
        <f>IF(Table143344506[[#This Row],[Course]]= "","",IFERROR(VLOOKUP(Table143344506[[#This Row],[Course]],COURSELIST[],7,FALSE),""))</f>
        <v/>
      </c>
      <c r="T78" s="3" t="str">
        <f>IF(Table143344506[[#This Row],[Course]]= "","",IFERROR(VLOOKUP(Table143344506[[#This Row],[Course]],COURSELIST[],8,FALSE),""))</f>
        <v/>
      </c>
      <c r="V78" s="184"/>
      <c r="W78" s="16"/>
      <c r="X78" s="3" t="str">
        <f>IF(Table92839495[[#This Row],[Course]]= "","",IFERROR(VLOOKUP(Table92839495[[#This Row],[Course]],COURSELIST[],2,FALSE),"Course Not Found!"))</f>
        <v/>
      </c>
      <c r="Y78" s="3" t="str">
        <f>IF(Table92839495[[#This Row],[Course]]= "","",IFERROR(VLOOKUP(Table92839495[[#This Row],[Course]],COURSELIST[],3,FALSE),""))</f>
        <v/>
      </c>
      <c r="Z78" s="3" t="str">
        <f>IF(Table92839495[[#This Row],[Course]]= "","",IFERROR(VLOOKUP(Table92839495[[#This Row],[Course]],COURSELIST[],4,FALSE),""))</f>
        <v/>
      </c>
      <c r="AB78" s="3" t="str">
        <f>IF(Table92839495[[#This Row],[Course]]= "","",IFERROR(VLOOKUP(Table92839495[[#This Row],[Course]],COURSELIST[],6,FALSE),""))</f>
        <v/>
      </c>
      <c r="AC78" s="3" t="str">
        <f>IF(Table92839495[[#This Row],[Course]]= "","",IFERROR(VLOOKUP(Table92839495[[#This Row],[Course]],COURSELIST[],7,FALSE),""))</f>
        <v/>
      </c>
      <c r="AD78" s="3" t="str">
        <f>IF(Table92839495[[#This Row],[Course]]= "","",IFERROR(VLOOKUP(Table92839495[[#This Row],[Course]],COURSELIST[],8,FALSE),""))</f>
        <v/>
      </c>
      <c r="AF78" s="184"/>
      <c r="AG78" s="16"/>
      <c r="AH78" s="3" t="str">
        <f>IF(Table928394952557[[#This Row],[Course]]= "","",IFERROR(VLOOKUP(Table928394952557[[#This Row],[Course]],COURSELIST[],2,FALSE),"Course Not Found!"))</f>
        <v/>
      </c>
      <c r="AI78" s="3" t="str">
        <f>IF(Table928394952557[[#This Row],[Course]]= "","",IFERROR(VLOOKUP(Table928394952557[[#This Row],[Course]],COURSELIST[],3,FALSE),""))</f>
        <v/>
      </c>
      <c r="AJ78" s="3" t="str">
        <f>IF(Table928394952557[[#This Row],[Course]]= "","",IFERROR(VLOOKUP(Table928394952557[[#This Row],[Course]],COURSELIST[],4,FALSE),""))</f>
        <v/>
      </c>
      <c r="AL78" s="3" t="str">
        <f>IF(Table928394952557[[#This Row],[Course]]= "","",IFERROR(VLOOKUP(Table928394952557[[#This Row],[Course]],COURSELIST[],6,FALSE),""))</f>
        <v/>
      </c>
      <c r="AM78" s="3" t="str">
        <f>IF(Table928394952557[[#This Row],[Course]]= "","",IFERROR(VLOOKUP(Table928394952557[[#This Row],[Course]],COURSELIST[],7,FALSE),""))</f>
        <v/>
      </c>
      <c r="AN78" s="3" t="str">
        <f>IF(Table928394952557[[#This Row],[Course]]= "","",IFERROR(VLOOKUP(Table928394952557[[#This Row],[Course]],COURSELIST[],8,FALSE),""))</f>
        <v/>
      </c>
    </row>
    <row r="79" spans="1:40" ht="15.75" hidden="1" outlineLevel="1" thickBot="1">
      <c r="B79" s="184"/>
      <c r="C79" s="96"/>
      <c r="D79" s="3" t="str">
        <f>IF(Table32221484[[#This Row],[Course]]= "","",IFERROR(VLOOKUP(Table32221484[[#This Row],[Course]],COURSELIST[],2,FALSE),"Course Not Found!"))</f>
        <v/>
      </c>
      <c r="E79" s="3" t="str">
        <f>IF(Table32221484[[#This Row],[Course]]= "","",IFERROR(VLOOKUP(Table32221484[[#This Row],[Course]],COURSELIST[],3,FALSE),""))</f>
        <v/>
      </c>
      <c r="F79" s="3" t="str">
        <f>IF(Table32221484[[#This Row],[Course]]= "","",IFERROR(VLOOKUP(Table32221484[[#This Row],[Course]],COURSELIST[],4,FALSE),""))</f>
        <v/>
      </c>
      <c r="H79" s="3" t="str">
        <f>IF(Table32221484[[#This Row],[Course]]= "","",IFERROR(VLOOKUP(Table32221484[[#This Row],[Course]],COURSELIST[],6,FALSE),""))</f>
        <v/>
      </c>
      <c r="I79" s="3" t="str">
        <f>IF(Table32221484[[#This Row],[Course]]= "","",IFERROR(VLOOKUP(Table32221484[[#This Row],[Course]],COURSELIST[],7,FALSE),""))</f>
        <v/>
      </c>
      <c r="J79" s="3" t="str">
        <f>IF(Table32221484[[#This Row],[Course]]= "","",IFERROR(VLOOKUP(Table32221484[[#This Row],[Course]],COURSELIST[],8,FALSE),""))</f>
        <v/>
      </c>
      <c r="L79" s="184"/>
      <c r="M79" s="17"/>
      <c r="N79" s="3" t="str">
        <f>IF(Table143344506[[#This Row],[Course]]= "","",IFERROR(VLOOKUP(Table143344506[[#This Row],[Course]],COURSELIST[],2,FALSE),"Course Not Found!"))</f>
        <v/>
      </c>
      <c r="O79" s="3" t="str">
        <f>IF(Table143344506[[#This Row],[Course]]= "","",IFERROR(VLOOKUP(Table143344506[[#This Row],[Course]],COURSELIST[],3,FALSE),""))</f>
        <v/>
      </c>
      <c r="P79" s="3" t="str">
        <f>IF(Table143344506[[#This Row],[Course]]= "","",IFERROR(VLOOKUP(Table143344506[[#This Row],[Course]],COURSELIST[],4,FALSE),""))</f>
        <v/>
      </c>
      <c r="R79" s="3" t="str">
        <f>IF(Table143344506[[#This Row],[Course]]= "","",IFERROR(VLOOKUP(Table143344506[[#This Row],[Course]],COURSELIST[],6,FALSE),""))</f>
        <v/>
      </c>
      <c r="S79" s="3" t="str">
        <f>IF(Table143344506[[#This Row],[Course]]= "","",IFERROR(VLOOKUP(Table143344506[[#This Row],[Course]],COURSELIST[],7,FALSE),""))</f>
        <v/>
      </c>
      <c r="T79" s="5" t="str">
        <f>IF(Table143344506[[#This Row],[Course]]= "","",IFERROR(VLOOKUP(Table143344506[[#This Row],[Course]],COURSELIST[],8,FALSE),""))</f>
        <v/>
      </c>
      <c r="V79" s="184"/>
      <c r="W79" s="25"/>
      <c r="X79" s="3" t="str">
        <f>IF(Table92839495[[#This Row],[Course]]= "","",IFERROR(VLOOKUP(Table92839495[[#This Row],[Course]],COURSELIST[],2,FALSE),"Course Not Found!"))</f>
        <v/>
      </c>
      <c r="Y79" s="3" t="str">
        <f>IF(Table92839495[[#This Row],[Course]]= "","",IFERROR(VLOOKUP(Table92839495[[#This Row],[Course]],COURSELIST[],3,FALSE),""))</f>
        <v/>
      </c>
      <c r="Z79" s="3" t="str">
        <f>IF(Table92839495[[#This Row],[Course]]= "","",IFERROR(VLOOKUP(Table92839495[[#This Row],[Course]],COURSELIST[],4,FALSE),""))</f>
        <v/>
      </c>
      <c r="AB79" s="3" t="str">
        <f>IF(Table92839495[[#This Row],[Course]]= "","",IFERROR(VLOOKUP(Table92839495[[#This Row],[Course]],COURSELIST[],6,FALSE),""))</f>
        <v/>
      </c>
      <c r="AC79" s="3" t="str">
        <f>IF(Table92839495[[#This Row],[Course]]= "","",IFERROR(VLOOKUP(Table92839495[[#This Row],[Course]],COURSELIST[],7,FALSE),""))</f>
        <v/>
      </c>
      <c r="AD79" s="3" t="str">
        <f>IF(Table92839495[[#This Row],[Course]]= "","",IFERROR(VLOOKUP(Table92839495[[#This Row],[Course]],COURSELIST[],8,FALSE),""))</f>
        <v/>
      </c>
      <c r="AF79" s="184"/>
      <c r="AG79" s="25"/>
      <c r="AH79" s="3" t="str">
        <f>IF(Table928394952557[[#This Row],[Course]]= "","",IFERROR(VLOOKUP(Table928394952557[[#This Row],[Course]],COURSELIST[],2,FALSE),"Course Not Found!"))</f>
        <v/>
      </c>
      <c r="AI79" s="3" t="str">
        <f>IF(Table928394952557[[#This Row],[Course]]= "","",IFERROR(VLOOKUP(Table928394952557[[#This Row],[Course]],COURSELIST[],3,FALSE),""))</f>
        <v/>
      </c>
      <c r="AJ79" s="3" t="str">
        <f>IF(Table928394952557[[#This Row],[Course]]= "","",IFERROR(VLOOKUP(Table928394952557[[#This Row],[Course]],COURSELIST[],4,FALSE),""))</f>
        <v/>
      </c>
      <c r="AL79" s="3" t="str">
        <f>IF(Table928394952557[[#This Row],[Course]]= "","",IFERROR(VLOOKUP(Table928394952557[[#This Row],[Course]],COURSELIST[],6,FALSE),""))</f>
        <v/>
      </c>
      <c r="AM79" s="3" t="str">
        <f>IF(Table928394952557[[#This Row],[Course]]= "","",IFERROR(VLOOKUP(Table928394952557[[#This Row],[Course]],COURSELIST[],7,FALSE),""))</f>
        <v/>
      </c>
      <c r="AN79" s="3" t="str">
        <f>IF(Table928394952557[[#This Row],[Course]]= "","",IFERROR(VLOOKUP(Table928394952557[[#This Row],[Course]],COURSELIST[],8,FALSE),""))</f>
        <v/>
      </c>
    </row>
    <row r="80" spans="1:40" ht="15.75" hidden="1" outlineLevel="1" thickBot="1">
      <c r="B80" s="184"/>
      <c r="C80" s="25"/>
      <c r="D80" s="3" t="str">
        <f>IF(Table32221484[[#This Row],[Course]]= "","",IFERROR(VLOOKUP(Table32221484[[#This Row],[Course]],COURSELIST[],2,FALSE),"Course Not Found!"))</f>
        <v/>
      </c>
      <c r="E80" s="3" t="str">
        <f>IF(Table32221484[[#This Row],[Course]]= "","",IFERROR(VLOOKUP(Table32221484[[#This Row],[Course]],COURSELIST[],3,FALSE),""))</f>
        <v/>
      </c>
      <c r="F80" s="3" t="str">
        <f>IF(Table32221484[[#This Row],[Course]]= "","",IFERROR(VLOOKUP(Table32221484[[#This Row],[Course]],COURSELIST[],4,FALSE),""))</f>
        <v/>
      </c>
      <c r="H80" s="3" t="str">
        <f>IF(Table32221484[[#This Row],[Course]]= "","",IFERROR(VLOOKUP(Table32221484[[#This Row],[Course]],COURSELIST[],6,FALSE),""))</f>
        <v/>
      </c>
      <c r="I80" s="3" t="str">
        <f>IF(Table32221484[[#This Row],[Course]]= "","",IFERROR(VLOOKUP(Table32221484[[#This Row],[Course]],COURSELIST[],7,FALSE),""))</f>
        <v/>
      </c>
      <c r="J80" s="3" t="str">
        <f>IF(Table32221484[[#This Row],[Course]]= "","",IFERROR(VLOOKUP(Table32221484[[#This Row],[Course]],COURSELIST[],8,FALSE),""))</f>
        <v/>
      </c>
      <c r="L80" s="184"/>
      <c r="M80" s="16"/>
      <c r="N80" s="3" t="str">
        <f>IF(Table143344506[[#This Row],[Course]]= "","",IFERROR(VLOOKUP(Table143344506[[#This Row],[Course]],COURSELIST[],2,FALSE),"Course Not Found!"))</f>
        <v/>
      </c>
      <c r="O80" s="3" t="str">
        <f>IF(Table143344506[[#This Row],[Course]]= "","",IFERROR(VLOOKUP(Table143344506[[#This Row],[Course]],COURSELIST[],3,FALSE),""))</f>
        <v/>
      </c>
      <c r="P80" s="3" t="str">
        <f>IF(Table143344506[[#This Row],[Course]]= "","",IFERROR(VLOOKUP(Table143344506[[#This Row],[Course]],COURSELIST[],4,FALSE),""))</f>
        <v/>
      </c>
      <c r="R80" s="3" t="str">
        <f>IF(Table143344506[[#This Row],[Course]]= "","",IFERROR(VLOOKUP(Table143344506[[#This Row],[Course]],COURSELIST[],6,FALSE),""))</f>
        <v/>
      </c>
      <c r="S80" s="3" t="str">
        <f>IF(Table143344506[[#This Row],[Course]]= "","",IFERROR(VLOOKUP(Table143344506[[#This Row],[Course]],COURSELIST[],7,FALSE),""))</f>
        <v/>
      </c>
      <c r="T80" s="3" t="str">
        <f>IF(Table143344506[[#This Row],[Course]]= "","",IFERROR(VLOOKUP(Table143344506[[#This Row],[Course]],COURSELIST[],8,FALSE),""))</f>
        <v/>
      </c>
      <c r="V80" s="184"/>
      <c r="W80" s="25"/>
      <c r="X80" s="3" t="str">
        <f>IF(Table92839495[[#This Row],[Course]]= "","",IFERROR(VLOOKUP(Table92839495[[#This Row],[Course]],COURSELIST[],2,FALSE),"Course Not Found!"))</f>
        <v/>
      </c>
      <c r="Y80" s="3" t="str">
        <f>IF(Table92839495[[#This Row],[Course]]= "","",IFERROR(VLOOKUP(Table92839495[[#This Row],[Course]],COURSELIST[],3,FALSE),""))</f>
        <v/>
      </c>
      <c r="Z80" s="3" t="str">
        <f>IF(Table92839495[[#This Row],[Course]]= "","",IFERROR(VLOOKUP(Table92839495[[#This Row],[Course]],COURSELIST[],4,FALSE),""))</f>
        <v/>
      </c>
      <c r="AB80" s="3" t="str">
        <f>IF(Table92839495[[#This Row],[Course]]= "","",IFERROR(VLOOKUP(Table92839495[[#This Row],[Course]],COURSELIST[],6,FALSE),""))</f>
        <v/>
      </c>
      <c r="AC80" s="3" t="str">
        <f>IF(Table92839495[[#This Row],[Course]]= "","",IFERROR(VLOOKUP(Table92839495[[#This Row],[Course]],COURSELIST[],7,FALSE),""))</f>
        <v/>
      </c>
      <c r="AD80" s="3" t="str">
        <f>IF(Table92839495[[#This Row],[Course]]= "","",IFERROR(VLOOKUP(Table92839495[[#This Row],[Course]],COURSELIST[],8,FALSE),""))</f>
        <v/>
      </c>
      <c r="AF80" s="184"/>
      <c r="AG80" s="25"/>
      <c r="AH80" s="3" t="str">
        <f>IF(Table928394952557[[#This Row],[Course]]= "","",IFERROR(VLOOKUP(Table928394952557[[#This Row],[Course]],COURSELIST[],2,FALSE),"Course Not Found!"))</f>
        <v/>
      </c>
      <c r="AI80" s="3" t="str">
        <f>IF(Table928394952557[[#This Row],[Course]]= "","",IFERROR(VLOOKUP(Table928394952557[[#This Row],[Course]],COURSELIST[],3,FALSE),""))</f>
        <v/>
      </c>
      <c r="AJ80" s="3" t="str">
        <f>IF(Table928394952557[[#This Row],[Course]]= "","",IFERROR(VLOOKUP(Table928394952557[[#This Row],[Course]],COURSELIST[],4,FALSE),""))</f>
        <v/>
      </c>
      <c r="AL80" s="3" t="str">
        <f>IF(Table928394952557[[#This Row],[Course]]= "","",IFERROR(VLOOKUP(Table928394952557[[#This Row],[Course]],COURSELIST[],6,FALSE),""))</f>
        <v/>
      </c>
      <c r="AM80" s="3" t="str">
        <f>IF(Table928394952557[[#This Row],[Course]]= "","",IFERROR(VLOOKUP(Table928394952557[[#This Row],[Course]],COURSELIST[],7,FALSE),""))</f>
        <v/>
      </c>
      <c r="AN80" s="3" t="str">
        <f>IF(Table928394952557[[#This Row],[Course]]= "","",IFERROR(VLOOKUP(Table928394952557[[#This Row],[Course]],COURSELIST[],8,FALSE),""))</f>
        <v/>
      </c>
    </row>
    <row r="81" spans="1:40" ht="15.75" hidden="1" outlineLevel="1" thickBot="1">
      <c r="B81" s="184"/>
      <c r="C81" s="25"/>
      <c r="D81" s="3" t="str">
        <f>IF(Table32221484[[#This Row],[Course]]= "","",IFERROR(VLOOKUP(Table32221484[[#This Row],[Course]],COURSELIST[],2,FALSE),"Course Not Found!"))</f>
        <v/>
      </c>
      <c r="E81" s="3" t="str">
        <f>IF(Table32221484[[#This Row],[Course]]= "","",IFERROR(VLOOKUP(Table32221484[[#This Row],[Course]],COURSELIST[],3,FALSE),""))</f>
        <v/>
      </c>
      <c r="F81" s="3" t="str">
        <f>IF(Table32221484[[#This Row],[Course]]= "","",IFERROR(VLOOKUP(Table32221484[[#This Row],[Course]],COURSELIST[],4,FALSE),""))</f>
        <v/>
      </c>
      <c r="H81" s="3" t="str">
        <f>IF(Table32221484[[#This Row],[Course]]= "","",IFERROR(VLOOKUP(Table32221484[[#This Row],[Course]],COURSELIST[],6,FALSE),""))</f>
        <v/>
      </c>
      <c r="I81" s="3" t="str">
        <f>IF(Table32221484[[#This Row],[Course]]= "","",IFERROR(VLOOKUP(Table32221484[[#This Row],[Course]],COURSELIST[],7,FALSE),""))</f>
        <v/>
      </c>
      <c r="J81" s="3" t="str">
        <f>IF(Table32221484[[#This Row],[Course]]= "","",IFERROR(VLOOKUP(Table32221484[[#This Row],[Course]],COURSELIST[],8,FALSE),""))</f>
        <v/>
      </c>
      <c r="L81" s="184"/>
      <c r="M81" s="28"/>
      <c r="N81" s="3" t="str">
        <f>IF(Table143344506[[#This Row],[Course]]= "","",IFERROR(VLOOKUP(Table143344506[[#This Row],[Course]],COURSELIST[],2,FALSE),"Course Not Found!"))</f>
        <v/>
      </c>
      <c r="O81" s="3" t="str">
        <f>IF(Table143344506[[#This Row],[Course]]= "","",IFERROR(VLOOKUP(Table143344506[[#This Row],[Course]],COURSELIST[],3,FALSE),""))</f>
        <v/>
      </c>
      <c r="P81" s="3" t="str">
        <f>IF(Table143344506[[#This Row],[Course]]= "","",IFERROR(VLOOKUP(Table143344506[[#This Row],[Course]],COURSELIST[],4,FALSE),""))</f>
        <v/>
      </c>
      <c r="R81" s="3" t="str">
        <f>IF(Table143344506[[#This Row],[Course]]= "","",IFERROR(VLOOKUP(Table143344506[[#This Row],[Course]],COURSELIST[],6,FALSE),""))</f>
        <v/>
      </c>
      <c r="S81" s="3" t="str">
        <f>IF(Table143344506[[#This Row],[Course]]= "","",IFERROR(VLOOKUP(Table143344506[[#This Row],[Course]],COURSELIST[],7,FALSE),""))</f>
        <v/>
      </c>
      <c r="T81" s="3" t="str">
        <f>IF(Table143344506[[#This Row],[Course]]= "","",IFERROR(VLOOKUP(Table143344506[[#This Row],[Course]],COURSELIST[],8,FALSE),""))</f>
        <v/>
      </c>
      <c r="V81" s="184"/>
      <c r="W81" s="28"/>
      <c r="X81" s="3" t="str">
        <f>IF(Table92839495[[#This Row],[Course]]= "","",IFERROR(VLOOKUP(Table92839495[[#This Row],[Course]],COURSELIST[],2,FALSE),"Course Not Found!"))</f>
        <v/>
      </c>
      <c r="Y81" s="3" t="str">
        <f>IF(Table92839495[[#This Row],[Course]]= "","",IFERROR(VLOOKUP(Table92839495[[#This Row],[Course]],COURSELIST[],3,FALSE),""))</f>
        <v/>
      </c>
      <c r="Z81" s="3" t="str">
        <f>IF(Table92839495[[#This Row],[Course]]= "","",IFERROR(VLOOKUP(Table92839495[[#This Row],[Course]],COURSELIST[],4,FALSE),""))</f>
        <v/>
      </c>
      <c r="AB81" s="3" t="str">
        <f>IF(Table92839495[[#This Row],[Course]]= "","",IFERROR(VLOOKUP(Table92839495[[#This Row],[Course]],COURSELIST[],6,FALSE),""))</f>
        <v/>
      </c>
      <c r="AC81" s="3" t="str">
        <f>IF(Table92839495[[#This Row],[Course]]= "","",IFERROR(VLOOKUP(Table92839495[[#This Row],[Course]],COURSELIST[],7,FALSE),""))</f>
        <v/>
      </c>
      <c r="AD81" s="3" t="str">
        <f>IF(Table92839495[[#This Row],[Course]]= "","",IFERROR(VLOOKUP(Table92839495[[#This Row],[Course]],COURSELIST[],8,FALSE),""))</f>
        <v/>
      </c>
      <c r="AF81" s="184"/>
      <c r="AG81" s="28"/>
      <c r="AH81" s="3" t="str">
        <f>IF(Table928394952557[[#This Row],[Course]]= "","",IFERROR(VLOOKUP(Table928394952557[[#This Row],[Course]],COURSELIST[],2,FALSE),"Course Not Found!"))</f>
        <v/>
      </c>
      <c r="AI81" s="3" t="str">
        <f>IF(Table928394952557[[#This Row],[Course]]= "","",IFERROR(VLOOKUP(Table928394952557[[#This Row],[Course]],COURSELIST[],3,FALSE),""))</f>
        <v/>
      </c>
      <c r="AJ81" s="3" t="str">
        <f>IF(Table928394952557[[#This Row],[Course]]= "","",IFERROR(VLOOKUP(Table928394952557[[#This Row],[Course]],COURSELIST[],4,FALSE),""))</f>
        <v/>
      </c>
      <c r="AL81" s="3" t="str">
        <f>IF(Table928394952557[[#This Row],[Course]]= "","",IFERROR(VLOOKUP(Table928394952557[[#This Row],[Course]],COURSELIST[],6,FALSE),""))</f>
        <v/>
      </c>
      <c r="AM81" s="3" t="str">
        <f>IF(Table928394952557[[#This Row],[Course]]= "","",IFERROR(VLOOKUP(Table928394952557[[#This Row],[Course]],COURSELIST[],7,FALSE),""))</f>
        <v/>
      </c>
      <c r="AN81" s="3" t="str">
        <f>IF(Table928394952557[[#This Row],[Course]]= "","",IFERROR(VLOOKUP(Table928394952557[[#This Row],[Course]],COURSELIST[],8,FALSE),""))</f>
        <v/>
      </c>
    </row>
    <row r="82" spans="1:40" hidden="1" outlineLevel="1">
      <c r="C82" s="19"/>
      <c r="E82" s="3" t="s">
        <v>10</v>
      </c>
      <c r="F82" s="3">
        <f>SUM(F75:F81)</f>
        <v>0</v>
      </c>
      <c r="G82" s="4"/>
      <c r="I82" s="3" t="s">
        <v>27</v>
      </c>
      <c r="J82" s="4">
        <f>SUM(J75:J81)</f>
        <v>0</v>
      </c>
      <c r="O82" s="3" t="s">
        <v>10</v>
      </c>
      <c r="P82" s="3">
        <f>SUM(P75:P81)</f>
        <v>0</v>
      </c>
      <c r="S82" s="3" t="s">
        <v>27</v>
      </c>
      <c r="T82" s="3">
        <f>SUM(T75:T81)</f>
        <v>0</v>
      </c>
      <c r="Y82" s="3" t="s">
        <v>10</v>
      </c>
      <c r="Z82" s="3">
        <f>SUM(Z75:Z81)</f>
        <v>0</v>
      </c>
      <c r="AC82" s="3" t="s">
        <v>27</v>
      </c>
      <c r="AD82" s="3">
        <f>SUM(AD75:AD81)</f>
        <v>0</v>
      </c>
      <c r="AI82" s="3" t="s">
        <v>10</v>
      </c>
      <c r="AJ82" s="3">
        <f>SUM(AJ75:AJ81)</f>
        <v>0</v>
      </c>
      <c r="AM82" s="3" t="s">
        <v>27</v>
      </c>
      <c r="AN82" s="3">
        <f>SUM(AN75:AN81)</f>
        <v>0</v>
      </c>
    </row>
    <row r="83" spans="1:40" hidden="1" outlineLevel="1">
      <c r="C83" s="19"/>
      <c r="E83" s="3" t="s">
        <v>18</v>
      </c>
      <c r="F83" s="3">
        <f>F82+AJ69</f>
        <v>167</v>
      </c>
      <c r="G83" s="4"/>
      <c r="I83" s="3" t="s">
        <v>17</v>
      </c>
      <c r="J83" s="4">
        <f>J82+AN69</f>
        <v>238.58</v>
      </c>
      <c r="O83" s="3" t="s">
        <v>18</v>
      </c>
      <c r="P83" s="3">
        <f>P82+F83</f>
        <v>167</v>
      </c>
      <c r="S83" s="3" t="s">
        <v>17</v>
      </c>
      <c r="T83" s="3">
        <f>T82+J83</f>
        <v>238.58</v>
      </c>
      <c r="Y83" s="3" t="s">
        <v>18</v>
      </c>
      <c r="Z83" s="3">
        <f>Z82+P83</f>
        <v>167</v>
      </c>
      <c r="AC83" s="3" t="s">
        <v>17</v>
      </c>
      <c r="AD83" s="3">
        <f>AD82+T83</f>
        <v>238.58</v>
      </c>
      <c r="AI83" s="3" t="s">
        <v>18</v>
      </c>
      <c r="AJ83" s="3">
        <f>AJ82+Z83</f>
        <v>167</v>
      </c>
      <c r="AM83" s="3" t="s">
        <v>17</v>
      </c>
      <c r="AN83" s="3">
        <f>AN82+AD83</f>
        <v>238.58</v>
      </c>
    </row>
    <row r="84" spans="1:40" hidden="1" outlineLevel="1">
      <c r="C84" s="19"/>
      <c r="E84" s="5" t="s">
        <v>19</v>
      </c>
      <c r="F84" s="5">
        <f>F82+AJ70</f>
        <v>153</v>
      </c>
      <c r="G84" s="24"/>
      <c r="I84" s="3" t="s">
        <v>14</v>
      </c>
      <c r="J84" s="4" t="e">
        <f>J82/F82</f>
        <v>#DIV/0!</v>
      </c>
      <c r="O84" s="5" t="s">
        <v>19</v>
      </c>
      <c r="P84" s="5">
        <f>P82+F84</f>
        <v>153</v>
      </c>
      <c r="Q84" s="5"/>
      <c r="S84" s="3" t="s">
        <v>14</v>
      </c>
      <c r="T84" s="3" t="e">
        <f>T82/P82</f>
        <v>#DIV/0!</v>
      </c>
      <c r="W84" s="5"/>
      <c r="X84" s="5"/>
      <c r="Y84" s="5" t="s">
        <v>19</v>
      </c>
      <c r="Z84" s="5">
        <f>Z82+P84</f>
        <v>153</v>
      </c>
      <c r="AA84" s="5"/>
      <c r="AC84" s="3" t="s">
        <v>14</v>
      </c>
      <c r="AD84" s="3" t="e">
        <f>AD82/Z82</f>
        <v>#DIV/0!</v>
      </c>
      <c r="AG84" s="5"/>
      <c r="AH84" s="5"/>
      <c r="AI84" s="5" t="s">
        <v>19</v>
      </c>
      <c r="AJ84" s="5">
        <f>AJ82+Z84</f>
        <v>153</v>
      </c>
      <c r="AK84" s="5"/>
      <c r="AM84" s="3" t="s">
        <v>14</v>
      </c>
      <c r="AN84" s="3" t="e">
        <f>AN82/AJ82</f>
        <v>#DIV/0!</v>
      </c>
    </row>
    <row r="85" spans="1:40" ht="21.75" hidden="1" outlineLevel="1" thickBot="1">
      <c r="C85" s="19"/>
      <c r="G85" s="4"/>
      <c r="H85" s="23"/>
      <c r="I85" s="5" t="s">
        <v>16</v>
      </c>
      <c r="J85" s="24">
        <f>J83/F84</f>
        <v>1.5593464052287582</v>
      </c>
      <c r="M85" s="5"/>
      <c r="N85" s="5"/>
      <c r="S85" s="5" t="s">
        <v>16</v>
      </c>
      <c r="T85" s="5">
        <f>T83/P84</f>
        <v>1.5593464052287582</v>
      </c>
      <c r="AC85" s="5" t="s">
        <v>16</v>
      </c>
      <c r="AD85" s="5">
        <f>AD83/Z84</f>
        <v>1.5593464052287582</v>
      </c>
      <c r="AM85" s="5" t="s">
        <v>16</v>
      </c>
      <c r="AN85" s="5">
        <f>AN83/AJ84</f>
        <v>1.5593464052287582</v>
      </c>
    </row>
    <row r="86" spans="1:40" ht="21.75" collapsed="1" thickBot="1">
      <c r="A86" s="87" t="s">
        <v>595</v>
      </c>
      <c r="D86" s="94"/>
      <c r="J86" s="23"/>
    </row>
    <row r="87" spans="1:40" ht="23.25" hidden="1" customHeight="1" outlineLevel="1" thickBot="1">
      <c r="B87" s="184" t="s">
        <v>597</v>
      </c>
      <c r="C87" s="190" t="s">
        <v>593</v>
      </c>
      <c r="D87" s="191"/>
      <c r="E87" s="192"/>
      <c r="F87" s="193" t="str">
        <f>GradeStatus(Z83)&amp;"--"&amp;Z83&amp;" Credits "&amp;F98&amp;" In Progress"</f>
        <v>Senior--167 Credits 153 In Progress</v>
      </c>
      <c r="G87" s="194"/>
      <c r="H87" s="194"/>
      <c r="I87" s="194"/>
      <c r="J87" s="194"/>
      <c r="L87" s="184" t="s">
        <v>94</v>
      </c>
      <c r="M87" s="195" t="s">
        <v>592</v>
      </c>
      <c r="N87" s="196"/>
      <c r="O87" s="197"/>
      <c r="P87" s="182" t="str">
        <f>GradeStatus(F98)&amp;"--"&amp;F98&amp;" Credits "&amp;P98&amp;" In Progress"</f>
        <v>Senior--153 Credits 153 In Progress</v>
      </c>
      <c r="Q87" s="183"/>
      <c r="R87" s="183"/>
      <c r="S87" s="183"/>
      <c r="T87" s="183"/>
      <c r="V87" s="184" t="s">
        <v>95</v>
      </c>
      <c r="W87" s="185" t="s">
        <v>588</v>
      </c>
      <c r="X87" s="186"/>
      <c r="Y87" s="187"/>
      <c r="Z87" s="188" t="str">
        <f>GradeStatus(P98)&amp;"--"&amp;P98&amp;" Credits "&amp;Z98&amp;" In Progress"</f>
        <v>Senior--153 Credits 153 In Progress</v>
      </c>
      <c r="AA87" s="189"/>
      <c r="AB87" s="189"/>
      <c r="AC87" s="189"/>
      <c r="AD87" s="189"/>
      <c r="AF87" s="184" t="s">
        <v>96</v>
      </c>
      <c r="AG87" s="177" t="s">
        <v>587</v>
      </c>
      <c r="AH87" s="178"/>
      <c r="AI87" s="179"/>
      <c r="AJ87" s="180" t="str">
        <f>GradeStatus(Z97)&amp;"--"&amp;Z97&amp;" Credits "&amp;AJ97&amp;" In Progress"</f>
        <v>Senior--167 Credits 167 In Progress</v>
      </c>
      <c r="AK87" s="181"/>
      <c r="AL87" s="181"/>
      <c r="AM87" s="181"/>
      <c r="AN87" s="181"/>
    </row>
    <row r="88" spans="1:40" ht="15.75" hidden="1" outlineLevel="1" thickBot="1">
      <c r="B88" s="184"/>
      <c r="C88" s="3" t="s">
        <v>20</v>
      </c>
      <c r="D88" s="3" t="s">
        <v>24</v>
      </c>
      <c r="E88" s="3" t="s">
        <v>25</v>
      </c>
      <c r="F88" s="3" t="s">
        <v>10</v>
      </c>
      <c r="G88" s="3" t="s">
        <v>26</v>
      </c>
      <c r="H88" s="3" t="s">
        <v>12</v>
      </c>
      <c r="I88" s="3" t="s">
        <v>36</v>
      </c>
      <c r="J88" s="3" t="s">
        <v>28</v>
      </c>
      <c r="L88" s="184"/>
      <c r="M88" s="3" t="s">
        <v>20</v>
      </c>
      <c r="N88" s="3" t="s">
        <v>24</v>
      </c>
      <c r="O88" s="3" t="s">
        <v>25</v>
      </c>
      <c r="P88" s="3" t="s">
        <v>10</v>
      </c>
      <c r="Q88" s="3" t="s">
        <v>26</v>
      </c>
      <c r="R88" s="3" t="s">
        <v>12</v>
      </c>
      <c r="S88" s="3" t="s">
        <v>36</v>
      </c>
      <c r="T88" s="3" t="s">
        <v>28</v>
      </c>
      <c r="V88" s="184"/>
      <c r="W88" s="3" t="s">
        <v>20</v>
      </c>
      <c r="X88" s="3" t="s">
        <v>24</v>
      </c>
      <c r="Y88" s="3" t="s">
        <v>25</v>
      </c>
      <c r="Z88" s="3" t="s">
        <v>10</v>
      </c>
      <c r="AA88" s="3" t="s">
        <v>26</v>
      </c>
      <c r="AB88" s="3" t="s">
        <v>12</v>
      </c>
      <c r="AC88" s="3" t="s">
        <v>36</v>
      </c>
      <c r="AD88" s="3" t="s">
        <v>28</v>
      </c>
      <c r="AF88" s="184"/>
      <c r="AG88" s="3" t="s">
        <v>20</v>
      </c>
      <c r="AH88" s="3" t="s">
        <v>24</v>
      </c>
      <c r="AI88" s="3" t="s">
        <v>25</v>
      </c>
      <c r="AJ88" s="3" t="s">
        <v>10</v>
      </c>
      <c r="AK88" s="3" t="s">
        <v>26</v>
      </c>
      <c r="AL88" s="3" t="s">
        <v>12</v>
      </c>
      <c r="AM88" s="3" t="s">
        <v>36</v>
      </c>
      <c r="AN88" s="3" t="s">
        <v>28</v>
      </c>
    </row>
    <row r="89" spans="1:40" ht="15.75" hidden="1" outlineLevel="1" thickBot="1">
      <c r="B89" s="184"/>
      <c r="C89" s="97"/>
      <c r="D89" s="3" t="str">
        <f>IF(Table32221488[[#This Row],[Course]]= "","",IFERROR(VLOOKUP(Table32221488[[#This Row],[Course]],COURSELIST[],2,FALSE),"Course Not Found!"))</f>
        <v/>
      </c>
      <c r="E89" s="3" t="str">
        <f>IF(Table32221488[[#This Row],[Course]]= "","",IFERROR(VLOOKUP(Table32221488[[#This Row],[Course]],COURSELIST[],3,FALSE),""))</f>
        <v/>
      </c>
      <c r="F89" s="3" t="str">
        <f>IF(Table32221488[[#This Row],[Course]]= "","",IFERROR(VLOOKUP(Table32221488[[#This Row],[Course]],COURSELIST[],4,FALSE),""))</f>
        <v/>
      </c>
      <c r="H89" s="3" t="str">
        <f>IF(Table32221488[[#This Row],[Course]]= "","",IFERROR(VLOOKUP(Table32221488[[#This Row],[Course]],COURSELIST[],6,FALSE),""))</f>
        <v/>
      </c>
      <c r="I89" s="3" t="str">
        <f>IF(Table32221488[[#This Row],[Course]]= "","",IFERROR(VLOOKUP(Table32221488[[#This Row],[Course]],COURSELIST[],7,FALSE),""))</f>
        <v/>
      </c>
      <c r="J89" s="3" t="str">
        <f>IF(Table32221488[[#This Row],[Course]]= "","",IFERROR(VLOOKUP(Table32221488[[#This Row],[Course]],COURSELIST[],8,FALSE),""))</f>
        <v/>
      </c>
      <c r="L89" s="184"/>
      <c r="M89" s="27"/>
      <c r="N89" s="3" t="str">
        <f>IF(Table1433445010[[#This Row],[Course]]= "","",IFERROR(VLOOKUP(Table1433445010[[#This Row],[Course]],COURSELIST[],2,FALSE),"Course Not Found!"))</f>
        <v/>
      </c>
      <c r="O89" s="3" t="str">
        <f>IF(Table1433445010[[#This Row],[Course]]= "","",IFERROR(VLOOKUP(Table1433445010[[#This Row],[Course]],COURSELIST[],3,FALSE),""))</f>
        <v/>
      </c>
      <c r="P89" s="3" t="str">
        <f>IF(Table1433445010[[#This Row],[Course]]= "","",IFERROR(VLOOKUP(Table1433445010[[#This Row],[Course]],COURSELIST[],4,FALSE),""))</f>
        <v/>
      </c>
      <c r="R89" s="3" t="str">
        <f>IF(Table1433445010[[#This Row],[Course]]= "","",IFERROR(VLOOKUP(Table1433445010[[#This Row],[Course]],COURSELIST[],6,FALSE),""))</f>
        <v/>
      </c>
      <c r="S89" s="3" t="str">
        <f>IF(Table1433445010[[#This Row],[Course]]= "","",IFERROR(VLOOKUP(Table1433445010[[#This Row],[Course]],COURSELIST[],7,FALSE),""))</f>
        <v/>
      </c>
      <c r="T89" s="3" t="str">
        <f>IF(Table1433445010[[#This Row],[Course]]= "","",IFERROR(VLOOKUP(Table1433445010[[#This Row],[Course]],COURSELIST[],8,FALSE),""))</f>
        <v/>
      </c>
      <c r="V89" s="184"/>
      <c r="W89" s="25"/>
      <c r="X89" s="3" t="str">
        <f>IF(Table92839499[[#This Row],[Course]]= "","",IFERROR(VLOOKUP(Table92839499[[#This Row],[Course]],COURSELIST[],2,FALSE),"Course Not Found!"))</f>
        <v/>
      </c>
      <c r="Y89" s="3" t="str">
        <f>IF(Table92839499[[#This Row],[Course]]= "","",IFERROR(VLOOKUP(Table92839499[[#This Row],[Course]],COURSELIST[],3,FALSE),""))</f>
        <v/>
      </c>
      <c r="Z89" s="3" t="str">
        <f>IF(Table92839499[[#This Row],[Course]]= "","",IFERROR(VLOOKUP(Table92839499[[#This Row],[Course]],COURSELIST[],4,FALSE),""))</f>
        <v/>
      </c>
      <c r="AB89" s="3" t="str">
        <f>IF(Table92839499[[#This Row],[Course]]= "","",IFERROR(VLOOKUP(Table92839499[[#This Row],[Course]],COURSELIST[],6,FALSE),""))</f>
        <v/>
      </c>
      <c r="AC89" s="3" t="str">
        <f>IF(Table92839499[[#This Row],[Course]]= "","",IFERROR(VLOOKUP(Table92839499[[#This Row],[Course]],COURSELIST[],7,FALSE),""))</f>
        <v/>
      </c>
      <c r="AD89" s="3" t="str">
        <f>IF(Table92839499[[#This Row],[Course]]= "","",IFERROR(VLOOKUP(Table92839499[[#This Row],[Course]],COURSELIST[],8,FALSE),""))</f>
        <v/>
      </c>
      <c r="AF89" s="184"/>
      <c r="AG89" s="25"/>
      <c r="AH89" s="3" t="str">
        <f>IF(Table9283949525511[[#This Row],[Course]]= "","",IFERROR(VLOOKUP(Table9283949525511[[#This Row],[Course]],COURSELIST[],2,FALSE),"Course Not Found!"))</f>
        <v/>
      </c>
      <c r="AI89" s="3" t="str">
        <f>IF(Table9283949525511[[#This Row],[Course]]= "","",IFERROR(VLOOKUP(Table9283949525511[[#This Row],[Course]],COURSELIST[],3,FALSE),""))</f>
        <v/>
      </c>
      <c r="AJ89" s="3" t="str">
        <f>IF(Table9283949525511[[#This Row],[Course]]= "","",IFERROR(VLOOKUP(Table9283949525511[[#This Row],[Course]],COURSELIST[],4,FALSE),""))</f>
        <v/>
      </c>
      <c r="AL89" s="3" t="str">
        <f>IF(Table9283949525511[[#This Row],[Course]]= "","",IFERROR(VLOOKUP(Table9283949525511[[#This Row],[Course]],COURSELIST[],6,FALSE),""))</f>
        <v/>
      </c>
      <c r="AM89" s="3" t="str">
        <f>IF(Table9283949525511[[#This Row],[Course]]= "","",IFERROR(VLOOKUP(Table9283949525511[[#This Row],[Course]],COURSELIST[],7,FALSE),""))</f>
        <v/>
      </c>
      <c r="AN89" s="3" t="str">
        <f>IF(Table9283949525511[[#This Row],[Course]]= "","",IFERROR(VLOOKUP(Table9283949525511[[#This Row],[Course]],COURSELIST[],8,FALSE),""))</f>
        <v/>
      </c>
    </row>
    <row r="90" spans="1:40" ht="15.75" hidden="1" outlineLevel="1" thickBot="1">
      <c r="B90" s="184"/>
      <c r="C90" s="96"/>
      <c r="D90" s="3" t="str">
        <f>IF(Table32221488[[#This Row],[Course]]= "","",IFERROR(VLOOKUP(Table32221488[[#This Row],[Course]],COURSELIST[],2,FALSE),"Course Not Found!"))</f>
        <v/>
      </c>
      <c r="E90" s="3" t="str">
        <f>IF(Table32221488[[#This Row],[Course]]= "","",IFERROR(VLOOKUP(Table32221488[[#This Row],[Course]],COURSELIST[],3,FALSE),""))</f>
        <v/>
      </c>
      <c r="F90" s="3" t="str">
        <f>IF(Table32221488[[#This Row],[Course]]= "","",IFERROR(VLOOKUP(Table32221488[[#This Row],[Course]],COURSELIST[],4,FALSE),""))</f>
        <v/>
      </c>
      <c r="H90" s="3" t="str">
        <f>IF(Table32221488[[#This Row],[Course]]= "","",IFERROR(VLOOKUP(Table32221488[[#This Row],[Course]],COURSELIST[],6,FALSE),""))</f>
        <v/>
      </c>
      <c r="I90" s="3" t="str">
        <f>IF(Table32221488[[#This Row],[Course]]= "","",IFERROR(VLOOKUP(Table32221488[[#This Row],[Course]],COURSELIST[],7,FALSE),""))</f>
        <v/>
      </c>
      <c r="J90" s="3" t="str">
        <f>IF(Table32221488[[#This Row],[Course]]= "","",IFERROR(VLOOKUP(Table32221488[[#This Row],[Course]],COURSELIST[],8,FALSE),""))</f>
        <v/>
      </c>
      <c r="K90" s="5"/>
      <c r="L90" s="184"/>
      <c r="M90" s="25"/>
      <c r="N90" s="3" t="str">
        <f>IF(Table1433445010[[#This Row],[Course]]= "","",IFERROR(VLOOKUP(Table1433445010[[#This Row],[Course]],COURSELIST[],2,FALSE),"Course Not Found!"))</f>
        <v/>
      </c>
      <c r="O90" s="3" t="str">
        <f>IF(Table1433445010[[#This Row],[Course]]= "","",IFERROR(VLOOKUP(Table1433445010[[#This Row],[Course]],COURSELIST[],3,FALSE),""))</f>
        <v/>
      </c>
      <c r="P90" s="3" t="str">
        <f>IF(Table1433445010[[#This Row],[Course]]= "","",IFERROR(VLOOKUP(Table1433445010[[#This Row],[Course]],COURSELIST[],4,FALSE),""))</f>
        <v/>
      </c>
      <c r="R90" s="3" t="str">
        <f>IF(Table1433445010[[#This Row],[Course]]= "","",IFERROR(VLOOKUP(Table1433445010[[#This Row],[Course]],COURSELIST[],6,FALSE),""))</f>
        <v/>
      </c>
      <c r="S90" s="3" t="str">
        <f>IF(Table1433445010[[#This Row],[Course]]= "","",IFERROR(VLOOKUP(Table1433445010[[#This Row],[Course]],COURSELIST[],7,FALSE),""))</f>
        <v/>
      </c>
      <c r="T90" s="3" t="str">
        <f>IF(Table1433445010[[#This Row],[Course]]= "","",IFERROR(VLOOKUP(Table1433445010[[#This Row],[Course]],COURSELIST[],8,FALSE),""))</f>
        <v/>
      </c>
      <c r="U90" s="5"/>
      <c r="V90" s="184"/>
      <c r="W90" s="25"/>
      <c r="X90" s="3" t="str">
        <f>IF(Table92839499[[#This Row],[Course]]= "","",IFERROR(VLOOKUP(Table92839499[[#This Row],[Course]],COURSELIST[],2,FALSE),"Course Not Found!"))</f>
        <v/>
      </c>
      <c r="Y90" s="3" t="str">
        <f>IF(Table92839499[[#This Row],[Course]]= "","",IFERROR(VLOOKUP(Table92839499[[#This Row],[Course]],COURSELIST[],3,FALSE),""))</f>
        <v/>
      </c>
      <c r="Z90" s="3" t="str">
        <f>IF(Table92839499[[#This Row],[Course]]= "","",IFERROR(VLOOKUP(Table92839499[[#This Row],[Course]],COURSELIST[],4,FALSE),""))</f>
        <v/>
      </c>
      <c r="AB90" s="3" t="str">
        <f>IF(Table92839499[[#This Row],[Course]]= "","",IFERROR(VLOOKUP(Table92839499[[#This Row],[Course]],COURSELIST[],6,FALSE),""))</f>
        <v/>
      </c>
      <c r="AC90" s="3" t="str">
        <f>IF(Table92839499[[#This Row],[Course]]= "","",IFERROR(VLOOKUP(Table92839499[[#This Row],[Course]],COURSELIST[],7,FALSE),""))</f>
        <v/>
      </c>
      <c r="AD90" s="3" t="str">
        <f>IF(Table92839499[[#This Row],[Course]]= "","",IFERROR(VLOOKUP(Table92839499[[#This Row],[Course]],COURSELIST[],8,FALSE),""))</f>
        <v/>
      </c>
      <c r="AF90" s="184"/>
      <c r="AG90" s="25"/>
      <c r="AH90" s="3" t="str">
        <f>IF(Table9283949525511[[#This Row],[Course]]= "","",IFERROR(VLOOKUP(Table9283949525511[[#This Row],[Course]],COURSELIST[],2,FALSE),"Course Not Found!"))</f>
        <v/>
      </c>
      <c r="AI90" s="3" t="str">
        <f>IF(Table9283949525511[[#This Row],[Course]]= "","",IFERROR(VLOOKUP(Table9283949525511[[#This Row],[Course]],COURSELIST[],3,FALSE),""))</f>
        <v/>
      </c>
      <c r="AJ90" s="3" t="str">
        <f>IF(Table9283949525511[[#This Row],[Course]]= "","",IFERROR(VLOOKUP(Table9283949525511[[#This Row],[Course]],COURSELIST[],4,FALSE),""))</f>
        <v/>
      </c>
      <c r="AL90" s="3" t="str">
        <f>IF(Table9283949525511[[#This Row],[Course]]= "","",IFERROR(VLOOKUP(Table9283949525511[[#This Row],[Course]],COURSELIST[],6,FALSE),""))</f>
        <v/>
      </c>
      <c r="AM90" s="3" t="str">
        <f>IF(Table9283949525511[[#This Row],[Course]]= "","",IFERROR(VLOOKUP(Table9283949525511[[#This Row],[Course]],COURSELIST[],7,FALSE),""))</f>
        <v/>
      </c>
      <c r="AN90" s="3" t="str">
        <f>IF(Table9283949525511[[#This Row],[Course]]= "","",IFERROR(VLOOKUP(Table9283949525511[[#This Row],[Course]],COURSELIST[],8,FALSE),""))</f>
        <v/>
      </c>
    </row>
    <row r="91" spans="1:40" ht="15.75" hidden="1" outlineLevel="1" thickBot="1">
      <c r="B91" s="184"/>
      <c r="C91" s="96"/>
      <c r="D91" s="3" t="str">
        <f>IF(Table32221488[[#This Row],[Course]]= "","",IFERROR(VLOOKUP(Table32221488[[#This Row],[Course]],COURSELIST[],2,FALSE),"Course Not Found!"))</f>
        <v/>
      </c>
      <c r="E91" s="3" t="str">
        <f>IF(Table32221488[[#This Row],[Course]]= "","",IFERROR(VLOOKUP(Table32221488[[#This Row],[Course]],COURSELIST[],3,FALSE),""))</f>
        <v/>
      </c>
      <c r="F91" s="3" t="str">
        <f>IF(Table32221488[[#This Row],[Course]]= "","",IFERROR(VLOOKUP(Table32221488[[#This Row],[Course]],COURSELIST[],4,FALSE),""))</f>
        <v/>
      </c>
      <c r="H91" s="3" t="str">
        <f>IF(Table32221488[[#This Row],[Course]]= "","",IFERROR(VLOOKUP(Table32221488[[#This Row],[Course]],COURSELIST[],6,FALSE),""))</f>
        <v/>
      </c>
      <c r="I91" s="3" t="str">
        <f>IF(Table32221488[[#This Row],[Course]]= "","",IFERROR(VLOOKUP(Table32221488[[#This Row],[Course]],COURSELIST[],7,FALSE),""))</f>
        <v/>
      </c>
      <c r="J91" s="3" t="str">
        <f>IF(Table32221488[[#This Row],[Course]]= "","",IFERROR(VLOOKUP(Table32221488[[#This Row],[Course]],COURSELIST[],8,FALSE),""))</f>
        <v/>
      </c>
      <c r="L91" s="184"/>
      <c r="M91" s="25"/>
      <c r="N91" s="3" t="str">
        <f>IF(Table1433445010[[#This Row],[Course]]= "","",IFERROR(VLOOKUP(Table1433445010[[#This Row],[Course]],COURSELIST[],2,FALSE),"Course Not Found!"))</f>
        <v/>
      </c>
      <c r="O91" s="3" t="str">
        <f>IF(Table1433445010[[#This Row],[Course]]= "","",IFERROR(VLOOKUP(Table1433445010[[#This Row],[Course]],COURSELIST[],3,FALSE),""))</f>
        <v/>
      </c>
      <c r="P91" s="3" t="str">
        <f>IF(Table1433445010[[#This Row],[Course]]= "","",IFERROR(VLOOKUP(Table1433445010[[#This Row],[Course]],COURSELIST[],4,FALSE),""))</f>
        <v/>
      </c>
      <c r="R91" s="3" t="str">
        <f>IF(Table1433445010[[#This Row],[Course]]= "","",IFERROR(VLOOKUP(Table1433445010[[#This Row],[Course]],COURSELIST[],6,FALSE),""))</f>
        <v/>
      </c>
      <c r="S91" s="3" t="str">
        <f>IF(Table1433445010[[#This Row],[Course]]= "","",IFERROR(VLOOKUP(Table1433445010[[#This Row],[Course]],COURSELIST[],7,FALSE),""))</f>
        <v/>
      </c>
      <c r="T91" s="3" t="str">
        <f>IF(Table1433445010[[#This Row],[Course]]= "","",IFERROR(VLOOKUP(Table1433445010[[#This Row],[Course]],COURSELIST[],8,FALSE),""))</f>
        <v/>
      </c>
      <c r="V91" s="184"/>
      <c r="W91" s="16"/>
      <c r="X91" s="3" t="str">
        <f>IF(Table92839499[[#This Row],[Course]]= "","",IFERROR(VLOOKUP(Table92839499[[#This Row],[Course]],COURSELIST[],2,FALSE),"Course Not Found!"))</f>
        <v/>
      </c>
      <c r="Y91" s="3" t="str">
        <f>IF(Table92839499[[#This Row],[Course]]= "","",IFERROR(VLOOKUP(Table92839499[[#This Row],[Course]],COURSELIST[],3,FALSE),""))</f>
        <v/>
      </c>
      <c r="Z91" s="3" t="str">
        <f>IF(Table92839499[[#This Row],[Course]]= "","",IFERROR(VLOOKUP(Table92839499[[#This Row],[Course]],COURSELIST[],4,FALSE),""))</f>
        <v/>
      </c>
      <c r="AB91" s="3" t="str">
        <f>IF(Table92839499[[#This Row],[Course]]= "","",IFERROR(VLOOKUP(Table92839499[[#This Row],[Course]],COURSELIST[],6,FALSE),""))</f>
        <v/>
      </c>
      <c r="AC91" s="3" t="str">
        <f>IF(Table92839499[[#This Row],[Course]]= "","",IFERROR(VLOOKUP(Table92839499[[#This Row],[Course]],COURSELIST[],7,FALSE),""))</f>
        <v/>
      </c>
      <c r="AD91" s="3" t="str">
        <f>IF(Table92839499[[#This Row],[Course]]= "","",IFERROR(VLOOKUP(Table92839499[[#This Row],[Course]],COURSELIST[],8,FALSE),""))</f>
        <v/>
      </c>
      <c r="AF91" s="184"/>
      <c r="AG91" s="16"/>
      <c r="AH91" s="3" t="str">
        <f>IF(Table9283949525511[[#This Row],[Course]]= "","",IFERROR(VLOOKUP(Table9283949525511[[#This Row],[Course]],COURSELIST[],2,FALSE),"Course Not Found!"))</f>
        <v/>
      </c>
      <c r="AI91" s="3" t="str">
        <f>IF(Table9283949525511[[#This Row],[Course]]= "","",IFERROR(VLOOKUP(Table9283949525511[[#This Row],[Course]],COURSELIST[],3,FALSE),""))</f>
        <v/>
      </c>
      <c r="AJ91" s="3" t="str">
        <f>IF(Table9283949525511[[#This Row],[Course]]= "","",IFERROR(VLOOKUP(Table9283949525511[[#This Row],[Course]],COURSELIST[],4,FALSE),""))</f>
        <v/>
      </c>
      <c r="AL91" s="3" t="str">
        <f>IF(Table9283949525511[[#This Row],[Course]]= "","",IFERROR(VLOOKUP(Table9283949525511[[#This Row],[Course]],COURSELIST[],6,FALSE),""))</f>
        <v/>
      </c>
      <c r="AM91" s="3" t="str">
        <f>IF(Table9283949525511[[#This Row],[Course]]= "","",IFERROR(VLOOKUP(Table9283949525511[[#This Row],[Course]],COURSELIST[],7,FALSE),""))</f>
        <v/>
      </c>
      <c r="AN91" s="3" t="str">
        <f>IF(Table9283949525511[[#This Row],[Course]]= "","",IFERROR(VLOOKUP(Table9283949525511[[#This Row],[Course]],COURSELIST[],8,FALSE),""))</f>
        <v/>
      </c>
    </row>
    <row r="92" spans="1:40" ht="15.75" hidden="1" outlineLevel="1" thickBot="1">
      <c r="B92" s="184"/>
      <c r="C92" s="96"/>
      <c r="D92" s="3" t="str">
        <f>IF(Table32221488[[#This Row],[Course]]= "","",IFERROR(VLOOKUP(Table32221488[[#This Row],[Course]],COURSELIST[],2,FALSE),"Course Not Found!"))</f>
        <v/>
      </c>
      <c r="E92" s="3" t="str">
        <f>IF(Table32221488[[#This Row],[Course]]= "","",IFERROR(VLOOKUP(Table32221488[[#This Row],[Course]],COURSELIST[],3,FALSE),""))</f>
        <v/>
      </c>
      <c r="F92" s="3" t="str">
        <f>IF(Table32221488[[#This Row],[Course]]= "","",IFERROR(VLOOKUP(Table32221488[[#This Row],[Course]],COURSELIST[],4,FALSE),""))</f>
        <v/>
      </c>
      <c r="H92" s="3" t="str">
        <f>IF(Table32221488[[#This Row],[Course]]= "","",IFERROR(VLOOKUP(Table32221488[[#This Row],[Course]],COURSELIST[],6,FALSE),""))</f>
        <v/>
      </c>
      <c r="I92" s="3" t="str">
        <f>IF(Table32221488[[#This Row],[Course]]= "","",IFERROR(VLOOKUP(Table32221488[[#This Row],[Course]],COURSELIST[],7,FALSE),""))</f>
        <v/>
      </c>
      <c r="J92" s="3" t="str">
        <f>IF(Table32221488[[#This Row],[Course]]= "","",IFERROR(VLOOKUP(Table32221488[[#This Row],[Course]],COURSELIST[],8,FALSE),""))</f>
        <v/>
      </c>
      <c r="L92" s="184"/>
      <c r="M92" s="25"/>
      <c r="N92" s="3" t="str">
        <f>IF(Table1433445010[[#This Row],[Course]]= "","",IFERROR(VLOOKUP(Table1433445010[[#This Row],[Course]],COURSELIST[],2,FALSE),"Course Not Found!"))</f>
        <v/>
      </c>
      <c r="O92" s="3" t="str">
        <f>IF(Table1433445010[[#This Row],[Course]]= "","",IFERROR(VLOOKUP(Table1433445010[[#This Row],[Course]],COURSELIST[],3,FALSE),""))</f>
        <v/>
      </c>
      <c r="P92" s="3" t="str">
        <f>IF(Table1433445010[[#This Row],[Course]]= "","",IFERROR(VLOOKUP(Table1433445010[[#This Row],[Course]],COURSELIST[],4,FALSE),""))</f>
        <v/>
      </c>
      <c r="R92" s="3" t="str">
        <f>IF(Table1433445010[[#This Row],[Course]]= "","",IFERROR(VLOOKUP(Table1433445010[[#This Row],[Course]],COURSELIST[],6,FALSE),""))</f>
        <v/>
      </c>
      <c r="S92" s="3" t="str">
        <f>IF(Table1433445010[[#This Row],[Course]]= "","",IFERROR(VLOOKUP(Table1433445010[[#This Row],[Course]],COURSELIST[],7,FALSE),""))</f>
        <v/>
      </c>
      <c r="T92" s="3" t="str">
        <f>IF(Table1433445010[[#This Row],[Course]]= "","",IFERROR(VLOOKUP(Table1433445010[[#This Row],[Course]],COURSELIST[],8,FALSE),""))</f>
        <v/>
      </c>
      <c r="V92" s="184"/>
      <c r="W92" s="16"/>
      <c r="X92" s="3" t="str">
        <f>IF(Table92839499[[#This Row],[Course]]= "","",IFERROR(VLOOKUP(Table92839499[[#This Row],[Course]],COURSELIST[],2,FALSE),"Course Not Found!"))</f>
        <v/>
      </c>
      <c r="Y92" s="3" t="str">
        <f>IF(Table92839499[[#This Row],[Course]]= "","",IFERROR(VLOOKUP(Table92839499[[#This Row],[Course]],COURSELIST[],3,FALSE),""))</f>
        <v/>
      </c>
      <c r="Z92" s="3" t="str">
        <f>IF(Table92839499[[#This Row],[Course]]= "","",IFERROR(VLOOKUP(Table92839499[[#This Row],[Course]],COURSELIST[],4,FALSE),""))</f>
        <v/>
      </c>
      <c r="AB92" s="3" t="str">
        <f>IF(Table92839499[[#This Row],[Course]]= "","",IFERROR(VLOOKUP(Table92839499[[#This Row],[Course]],COURSELIST[],6,FALSE),""))</f>
        <v/>
      </c>
      <c r="AC92" s="3" t="str">
        <f>IF(Table92839499[[#This Row],[Course]]= "","",IFERROR(VLOOKUP(Table92839499[[#This Row],[Course]],COURSELIST[],7,FALSE),""))</f>
        <v/>
      </c>
      <c r="AD92" s="3" t="str">
        <f>IF(Table92839499[[#This Row],[Course]]= "","",IFERROR(VLOOKUP(Table92839499[[#This Row],[Course]],COURSELIST[],8,FALSE),""))</f>
        <v/>
      </c>
      <c r="AF92" s="184"/>
      <c r="AG92" s="16"/>
      <c r="AH92" s="3" t="str">
        <f>IF(Table9283949525511[[#This Row],[Course]]= "","",IFERROR(VLOOKUP(Table9283949525511[[#This Row],[Course]],COURSELIST[],2,FALSE),"Course Not Found!"))</f>
        <v/>
      </c>
      <c r="AI92" s="3" t="str">
        <f>IF(Table9283949525511[[#This Row],[Course]]= "","",IFERROR(VLOOKUP(Table9283949525511[[#This Row],[Course]],COURSELIST[],3,FALSE),""))</f>
        <v/>
      </c>
      <c r="AJ92" s="3" t="str">
        <f>IF(Table9283949525511[[#This Row],[Course]]= "","",IFERROR(VLOOKUP(Table9283949525511[[#This Row],[Course]],COURSELIST[],4,FALSE),""))</f>
        <v/>
      </c>
      <c r="AL92" s="3" t="str">
        <f>IF(Table9283949525511[[#This Row],[Course]]= "","",IFERROR(VLOOKUP(Table9283949525511[[#This Row],[Course]],COURSELIST[],6,FALSE),""))</f>
        <v/>
      </c>
      <c r="AM92" s="3" t="str">
        <f>IF(Table9283949525511[[#This Row],[Course]]= "","",IFERROR(VLOOKUP(Table9283949525511[[#This Row],[Course]],COURSELIST[],7,FALSE),""))</f>
        <v/>
      </c>
      <c r="AN92" s="3" t="str">
        <f>IF(Table9283949525511[[#This Row],[Course]]= "","",IFERROR(VLOOKUP(Table9283949525511[[#This Row],[Course]],COURSELIST[],8,FALSE),""))</f>
        <v/>
      </c>
    </row>
    <row r="93" spans="1:40" ht="15.75" hidden="1" outlineLevel="1" thickBot="1">
      <c r="B93" s="184"/>
      <c r="C93" s="96"/>
      <c r="D93" s="3" t="str">
        <f>IF(Table32221488[[#This Row],[Course]]= "","",IFERROR(VLOOKUP(Table32221488[[#This Row],[Course]],COURSELIST[],2,FALSE),"Course Not Found!"))</f>
        <v/>
      </c>
      <c r="E93" s="3" t="str">
        <f>IF(Table32221488[[#This Row],[Course]]= "","",IFERROR(VLOOKUP(Table32221488[[#This Row],[Course]],COURSELIST[],3,FALSE),""))</f>
        <v/>
      </c>
      <c r="F93" s="3" t="str">
        <f>IF(Table32221488[[#This Row],[Course]]= "","",IFERROR(VLOOKUP(Table32221488[[#This Row],[Course]],COURSELIST[],4,FALSE),""))</f>
        <v/>
      </c>
      <c r="H93" s="3" t="str">
        <f>IF(Table32221488[[#This Row],[Course]]= "","",IFERROR(VLOOKUP(Table32221488[[#This Row],[Course]],COURSELIST[],6,FALSE),""))</f>
        <v/>
      </c>
      <c r="I93" s="3" t="str">
        <f>IF(Table32221488[[#This Row],[Course]]= "","",IFERROR(VLOOKUP(Table32221488[[#This Row],[Course]],COURSELIST[],7,FALSE),""))</f>
        <v/>
      </c>
      <c r="J93" s="3" t="str">
        <f>IF(Table32221488[[#This Row],[Course]]= "","",IFERROR(VLOOKUP(Table32221488[[#This Row],[Course]],COURSELIST[],8,FALSE),""))</f>
        <v/>
      </c>
      <c r="L93" s="184"/>
      <c r="M93" s="17"/>
      <c r="N93" s="3" t="str">
        <f>IF(Table1433445010[[#This Row],[Course]]= "","",IFERROR(VLOOKUP(Table1433445010[[#This Row],[Course]],COURSELIST[],2,FALSE),"Course Not Found!"))</f>
        <v/>
      </c>
      <c r="O93" s="3" t="str">
        <f>IF(Table1433445010[[#This Row],[Course]]= "","",IFERROR(VLOOKUP(Table1433445010[[#This Row],[Course]],COURSELIST[],3,FALSE),""))</f>
        <v/>
      </c>
      <c r="P93" s="3" t="str">
        <f>IF(Table1433445010[[#This Row],[Course]]= "","",IFERROR(VLOOKUP(Table1433445010[[#This Row],[Course]],COURSELIST[],4,FALSE),""))</f>
        <v/>
      </c>
      <c r="R93" s="3" t="str">
        <f>IF(Table1433445010[[#This Row],[Course]]= "","",IFERROR(VLOOKUP(Table1433445010[[#This Row],[Course]],COURSELIST[],6,FALSE),""))</f>
        <v/>
      </c>
      <c r="S93" s="3" t="str">
        <f>IF(Table1433445010[[#This Row],[Course]]= "","",IFERROR(VLOOKUP(Table1433445010[[#This Row],[Course]],COURSELIST[],7,FALSE),""))</f>
        <v/>
      </c>
      <c r="T93" s="5" t="str">
        <f>IF(Table1433445010[[#This Row],[Course]]= "","",IFERROR(VLOOKUP(Table1433445010[[#This Row],[Course]],COURSELIST[],8,FALSE),""))</f>
        <v/>
      </c>
      <c r="V93" s="184"/>
      <c r="W93" s="25"/>
      <c r="X93" s="3" t="str">
        <f>IF(Table92839499[[#This Row],[Course]]= "","",IFERROR(VLOOKUP(Table92839499[[#This Row],[Course]],COURSELIST[],2,FALSE),"Course Not Found!"))</f>
        <v/>
      </c>
      <c r="Y93" s="3" t="str">
        <f>IF(Table92839499[[#This Row],[Course]]= "","",IFERROR(VLOOKUP(Table92839499[[#This Row],[Course]],COURSELIST[],3,FALSE),""))</f>
        <v/>
      </c>
      <c r="Z93" s="3" t="str">
        <f>IF(Table92839499[[#This Row],[Course]]= "","",IFERROR(VLOOKUP(Table92839499[[#This Row],[Course]],COURSELIST[],4,FALSE),""))</f>
        <v/>
      </c>
      <c r="AB93" s="3" t="str">
        <f>IF(Table92839499[[#This Row],[Course]]= "","",IFERROR(VLOOKUP(Table92839499[[#This Row],[Course]],COURSELIST[],6,FALSE),""))</f>
        <v/>
      </c>
      <c r="AC93" s="3" t="str">
        <f>IF(Table92839499[[#This Row],[Course]]= "","",IFERROR(VLOOKUP(Table92839499[[#This Row],[Course]],COURSELIST[],7,FALSE),""))</f>
        <v/>
      </c>
      <c r="AD93" s="3" t="str">
        <f>IF(Table92839499[[#This Row],[Course]]= "","",IFERROR(VLOOKUP(Table92839499[[#This Row],[Course]],COURSELIST[],8,FALSE),""))</f>
        <v/>
      </c>
      <c r="AF93" s="184"/>
      <c r="AG93" s="25"/>
      <c r="AH93" s="3" t="str">
        <f>IF(Table9283949525511[[#This Row],[Course]]= "","",IFERROR(VLOOKUP(Table9283949525511[[#This Row],[Course]],COURSELIST[],2,FALSE),"Course Not Found!"))</f>
        <v/>
      </c>
      <c r="AI93" s="3" t="str">
        <f>IF(Table9283949525511[[#This Row],[Course]]= "","",IFERROR(VLOOKUP(Table9283949525511[[#This Row],[Course]],COURSELIST[],3,FALSE),""))</f>
        <v/>
      </c>
      <c r="AJ93" s="3" t="str">
        <f>IF(Table9283949525511[[#This Row],[Course]]= "","",IFERROR(VLOOKUP(Table9283949525511[[#This Row],[Course]],COURSELIST[],4,FALSE),""))</f>
        <v/>
      </c>
      <c r="AL93" s="3" t="str">
        <f>IF(Table9283949525511[[#This Row],[Course]]= "","",IFERROR(VLOOKUP(Table9283949525511[[#This Row],[Course]],COURSELIST[],6,FALSE),""))</f>
        <v/>
      </c>
      <c r="AM93" s="3" t="str">
        <f>IF(Table9283949525511[[#This Row],[Course]]= "","",IFERROR(VLOOKUP(Table9283949525511[[#This Row],[Course]],COURSELIST[],7,FALSE),""))</f>
        <v/>
      </c>
      <c r="AN93" s="3" t="str">
        <f>IF(Table9283949525511[[#This Row],[Course]]= "","",IFERROR(VLOOKUP(Table9283949525511[[#This Row],[Course]],COURSELIST[],8,FALSE),""))</f>
        <v/>
      </c>
    </row>
    <row r="94" spans="1:40" ht="15.75" hidden="1" outlineLevel="1" thickBot="1">
      <c r="B94" s="184"/>
      <c r="C94" s="25"/>
      <c r="D94" s="3" t="str">
        <f>IF(Table32221488[[#This Row],[Course]]= "","",IFERROR(VLOOKUP(Table32221488[[#This Row],[Course]],COURSELIST[],2,FALSE),"Course Not Found!"))</f>
        <v/>
      </c>
      <c r="E94" s="3" t="str">
        <f>IF(Table32221488[[#This Row],[Course]]= "","",IFERROR(VLOOKUP(Table32221488[[#This Row],[Course]],COURSELIST[],3,FALSE),""))</f>
        <v/>
      </c>
      <c r="F94" s="3" t="str">
        <f>IF(Table32221488[[#This Row],[Course]]= "","",IFERROR(VLOOKUP(Table32221488[[#This Row],[Course]],COURSELIST[],4,FALSE),""))</f>
        <v/>
      </c>
      <c r="H94" s="3" t="str">
        <f>IF(Table32221488[[#This Row],[Course]]= "","",IFERROR(VLOOKUP(Table32221488[[#This Row],[Course]],COURSELIST[],6,FALSE),""))</f>
        <v/>
      </c>
      <c r="I94" s="3" t="str">
        <f>IF(Table32221488[[#This Row],[Course]]= "","",IFERROR(VLOOKUP(Table32221488[[#This Row],[Course]],COURSELIST[],7,FALSE),""))</f>
        <v/>
      </c>
      <c r="J94" s="3" t="str">
        <f>IF(Table32221488[[#This Row],[Course]]= "","",IFERROR(VLOOKUP(Table32221488[[#This Row],[Course]],COURSELIST[],8,FALSE),""))</f>
        <v/>
      </c>
      <c r="L94" s="184"/>
      <c r="M94" s="16"/>
      <c r="N94" s="3" t="str">
        <f>IF(Table1433445010[[#This Row],[Course]]= "","",IFERROR(VLOOKUP(Table1433445010[[#This Row],[Course]],COURSELIST[],2,FALSE),"Course Not Found!"))</f>
        <v/>
      </c>
      <c r="O94" s="3" t="str">
        <f>IF(Table1433445010[[#This Row],[Course]]= "","",IFERROR(VLOOKUP(Table1433445010[[#This Row],[Course]],COURSELIST[],3,FALSE),""))</f>
        <v/>
      </c>
      <c r="P94" s="3" t="str">
        <f>IF(Table1433445010[[#This Row],[Course]]= "","",IFERROR(VLOOKUP(Table1433445010[[#This Row],[Course]],COURSELIST[],4,FALSE),""))</f>
        <v/>
      </c>
      <c r="R94" s="3" t="str">
        <f>IF(Table1433445010[[#This Row],[Course]]= "","",IFERROR(VLOOKUP(Table1433445010[[#This Row],[Course]],COURSELIST[],6,FALSE),""))</f>
        <v/>
      </c>
      <c r="S94" s="3" t="str">
        <f>IF(Table1433445010[[#This Row],[Course]]= "","",IFERROR(VLOOKUP(Table1433445010[[#This Row],[Course]],COURSELIST[],7,FALSE),""))</f>
        <v/>
      </c>
      <c r="T94" s="3" t="str">
        <f>IF(Table1433445010[[#This Row],[Course]]= "","",IFERROR(VLOOKUP(Table1433445010[[#This Row],[Course]],COURSELIST[],8,FALSE),""))</f>
        <v/>
      </c>
      <c r="V94" s="184"/>
      <c r="W94" s="25"/>
      <c r="X94" s="3" t="str">
        <f>IF(Table92839499[[#This Row],[Course]]= "","",IFERROR(VLOOKUP(Table92839499[[#This Row],[Course]],COURSELIST[],2,FALSE),"Course Not Found!"))</f>
        <v/>
      </c>
      <c r="Y94" s="3" t="str">
        <f>IF(Table92839499[[#This Row],[Course]]= "","",IFERROR(VLOOKUP(Table92839499[[#This Row],[Course]],COURSELIST[],3,FALSE),""))</f>
        <v/>
      </c>
      <c r="Z94" s="3" t="str">
        <f>IF(Table92839499[[#This Row],[Course]]= "","",IFERROR(VLOOKUP(Table92839499[[#This Row],[Course]],COURSELIST[],4,FALSE),""))</f>
        <v/>
      </c>
      <c r="AB94" s="3" t="str">
        <f>IF(Table92839499[[#This Row],[Course]]= "","",IFERROR(VLOOKUP(Table92839499[[#This Row],[Course]],COURSELIST[],6,FALSE),""))</f>
        <v/>
      </c>
      <c r="AC94" s="3" t="str">
        <f>IF(Table92839499[[#This Row],[Course]]= "","",IFERROR(VLOOKUP(Table92839499[[#This Row],[Course]],COURSELIST[],7,FALSE),""))</f>
        <v/>
      </c>
      <c r="AD94" s="3" t="str">
        <f>IF(Table92839499[[#This Row],[Course]]= "","",IFERROR(VLOOKUP(Table92839499[[#This Row],[Course]],COURSELIST[],8,FALSE),""))</f>
        <v/>
      </c>
      <c r="AF94" s="184"/>
      <c r="AG94" s="25"/>
      <c r="AH94" s="3" t="str">
        <f>IF(Table9283949525511[[#This Row],[Course]]= "","",IFERROR(VLOOKUP(Table9283949525511[[#This Row],[Course]],COURSELIST[],2,FALSE),"Course Not Found!"))</f>
        <v/>
      </c>
      <c r="AI94" s="3" t="str">
        <f>IF(Table9283949525511[[#This Row],[Course]]= "","",IFERROR(VLOOKUP(Table9283949525511[[#This Row],[Course]],COURSELIST[],3,FALSE),""))</f>
        <v/>
      </c>
      <c r="AJ94" s="3" t="str">
        <f>IF(Table9283949525511[[#This Row],[Course]]= "","",IFERROR(VLOOKUP(Table9283949525511[[#This Row],[Course]],COURSELIST[],4,FALSE),""))</f>
        <v/>
      </c>
      <c r="AL94" s="3" t="str">
        <f>IF(Table9283949525511[[#This Row],[Course]]= "","",IFERROR(VLOOKUP(Table9283949525511[[#This Row],[Course]],COURSELIST[],6,FALSE),""))</f>
        <v/>
      </c>
      <c r="AM94" s="3" t="str">
        <f>IF(Table9283949525511[[#This Row],[Course]]= "","",IFERROR(VLOOKUP(Table9283949525511[[#This Row],[Course]],COURSELIST[],7,FALSE),""))</f>
        <v/>
      </c>
      <c r="AN94" s="3" t="str">
        <f>IF(Table9283949525511[[#This Row],[Course]]= "","",IFERROR(VLOOKUP(Table9283949525511[[#This Row],[Course]],COURSELIST[],8,FALSE),""))</f>
        <v/>
      </c>
    </row>
    <row r="95" spans="1:40" ht="15.75" hidden="1" outlineLevel="1" thickBot="1">
      <c r="B95" s="184"/>
      <c r="C95" s="25"/>
      <c r="D95" s="3" t="str">
        <f>IF(Table32221488[[#This Row],[Course]]= "","",IFERROR(VLOOKUP(Table32221488[[#This Row],[Course]],COURSELIST[],2,FALSE),"Course Not Found!"))</f>
        <v/>
      </c>
      <c r="E95" s="3" t="str">
        <f>IF(Table32221488[[#This Row],[Course]]= "","",IFERROR(VLOOKUP(Table32221488[[#This Row],[Course]],COURSELIST[],3,FALSE),""))</f>
        <v/>
      </c>
      <c r="F95" s="3" t="str">
        <f>IF(Table32221488[[#This Row],[Course]]= "","",IFERROR(VLOOKUP(Table32221488[[#This Row],[Course]],COURSELIST[],4,FALSE),""))</f>
        <v/>
      </c>
      <c r="H95" s="3" t="str">
        <f>IF(Table32221488[[#This Row],[Course]]= "","",IFERROR(VLOOKUP(Table32221488[[#This Row],[Course]],COURSELIST[],6,FALSE),""))</f>
        <v/>
      </c>
      <c r="I95" s="3" t="str">
        <f>IF(Table32221488[[#This Row],[Course]]= "","",IFERROR(VLOOKUP(Table32221488[[#This Row],[Course]],COURSELIST[],7,FALSE),""))</f>
        <v/>
      </c>
      <c r="J95" s="3" t="str">
        <f>IF(Table32221488[[#This Row],[Course]]= "","",IFERROR(VLOOKUP(Table32221488[[#This Row],[Course]],COURSELIST[],8,FALSE),""))</f>
        <v/>
      </c>
      <c r="L95" s="184"/>
      <c r="M95" s="28"/>
      <c r="N95" s="3" t="str">
        <f>IF(Table1433445010[[#This Row],[Course]]= "","",IFERROR(VLOOKUP(Table1433445010[[#This Row],[Course]],COURSELIST[],2,FALSE),"Course Not Found!"))</f>
        <v/>
      </c>
      <c r="O95" s="3" t="str">
        <f>IF(Table1433445010[[#This Row],[Course]]= "","",IFERROR(VLOOKUP(Table1433445010[[#This Row],[Course]],COURSELIST[],3,FALSE),""))</f>
        <v/>
      </c>
      <c r="P95" s="3" t="str">
        <f>IF(Table1433445010[[#This Row],[Course]]= "","",IFERROR(VLOOKUP(Table1433445010[[#This Row],[Course]],COURSELIST[],4,FALSE),""))</f>
        <v/>
      </c>
      <c r="R95" s="3" t="str">
        <f>IF(Table1433445010[[#This Row],[Course]]= "","",IFERROR(VLOOKUP(Table1433445010[[#This Row],[Course]],COURSELIST[],6,FALSE),""))</f>
        <v/>
      </c>
      <c r="S95" s="3" t="str">
        <f>IF(Table1433445010[[#This Row],[Course]]= "","",IFERROR(VLOOKUP(Table1433445010[[#This Row],[Course]],COURSELIST[],7,FALSE),""))</f>
        <v/>
      </c>
      <c r="T95" s="3" t="str">
        <f>IF(Table1433445010[[#This Row],[Course]]= "","",IFERROR(VLOOKUP(Table1433445010[[#This Row],[Course]],COURSELIST[],8,FALSE),""))</f>
        <v/>
      </c>
      <c r="V95" s="184"/>
      <c r="W95" s="28"/>
      <c r="X95" s="3" t="str">
        <f>IF(Table92839499[[#This Row],[Course]]= "","",IFERROR(VLOOKUP(Table92839499[[#This Row],[Course]],COURSELIST[],2,FALSE),"Course Not Found!"))</f>
        <v/>
      </c>
      <c r="Y95" s="3" t="str">
        <f>IF(Table92839499[[#This Row],[Course]]= "","",IFERROR(VLOOKUP(Table92839499[[#This Row],[Course]],COURSELIST[],3,FALSE),""))</f>
        <v/>
      </c>
      <c r="Z95" s="3" t="str">
        <f>IF(Table92839499[[#This Row],[Course]]= "","",IFERROR(VLOOKUP(Table92839499[[#This Row],[Course]],COURSELIST[],4,FALSE),""))</f>
        <v/>
      </c>
      <c r="AB95" s="3" t="str">
        <f>IF(Table92839499[[#This Row],[Course]]= "","",IFERROR(VLOOKUP(Table92839499[[#This Row],[Course]],COURSELIST[],6,FALSE),""))</f>
        <v/>
      </c>
      <c r="AC95" s="3" t="str">
        <f>IF(Table92839499[[#This Row],[Course]]= "","",IFERROR(VLOOKUP(Table92839499[[#This Row],[Course]],COURSELIST[],7,FALSE),""))</f>
        <v/>
      </c>
      <c r="AD95" s="3" t="str">
        <f>IF(Table92839499[[#This Row],[Course]]= "","",IFERROR(VLOOKUP(Table92839499[[#This Row],[Course]],COURSELIST[],8,FALSE),""))</f>
        <v/>
      </c>
      <c r="AF95" s="184"/>
      <c r="AG95" s="28"/>
      <c r="AH95" s="3" t="str">
        <f>IF(Table9283949525511[[#This Row],[Course]]= "","",IFERROR(VLOOKUP(Table9283949525511[[#This Row],[Course]],COURSELIST[],2,FALSE),"Course Not Found!"))</f>
        <v/>
      </c>
      <c r="AI95" s="3" t="str">
        <f>IF(Table9283949525511[[#This Row],[Course]]= "","",IFERROR(VLOOKUP(Table9283949525511[[#This Row],[Course]],COURSELIST[],3,FALSE),""))</f>
        <v/>
      </c>
      <c r="AJ95" s="3" t="str">
        <f>IF(Table9283949525511[[#This Row],[Course]]= "","",IFERROR(VLOOKUP(Table9283949525511[[#This Row],[Course]],COURSELIST[],4,FALSE),""))</f>
        <v/>
      </c>
      <c r="AL95" s="3" t="str">
        <f>IF(Table9283949525511[[#This Row],[Course]]= "","",IFERROR(VLOOKUP(Table9283949525511[[#This Row],[Course]],COURSELIST[],6,FALSE),""))</f>
        <v/>
      </c>
      <c r="AM95" s="3" t="str">
        <f>IF(Table9283949525511[[#This Row],[Course]]= "","",IFERROR(VLOOKUP(Table9283949525511[[#This Row],[Course]],COURSELIST[],7,FALSE),""))</f>
        <v/>
      </c>
      <c r="AN95" s="3" t="str">
        <f>IF(Table9283949525511[[#This Row],[Course]]= "","",IFERROR(VLOOKUP(Table9283949525511[[#This Row],[Course]],COURSELIST[],8,FALSE),""))</f>
        <v/>
      </c>
    </row>
    <row r="96" spans="1:40" hidden="1" outlineLevel="1">
      <c r="C96" s="19"/>
      <c r="E96" s="3" t="s">
        <v>10</v>
      </c>
      <c r="F96" s="3">
        <f>SUM(F89:F95)</f>
        <v>0</v>
      </c>
      <c r="G96" s="4"/>
      <c r="I96" s="3" t="s">
        <v>27</v>
      </c>
      <c r="J96" s="4">
        <f>SUM(J89:J95)</f>
        <v>0</v>
      </c>
      <c r="O96" s="3" t="s">
        <v>10</v>
      </c>
      <c r="P96" s="3">
        <f>SUM(P89:P95)</f>
        <v>0</v>
      </c>
      <c r="S96" s="3" t="s">
        <v>27</v>
      </c>
      <c r="T96" s="3">
        <f>SUM(T89:T95)</f>
        <v>0</v>
      </c>
      <c r="Y96" s="3" t="s">
        <v>10</v>
      </c>
      <c r="Z96" s="3">
        <f>SUM(Z89:Z95)</f>
        <v>0</v>
      </c>
      <c r="AC96" s="3" t="s">
        <v>27</v>
      </c>
      <c r="AD96" s="3">
        <f>SUM(AD89:AD95)</f>
        <v>0</v>
      </c>
      <c r="AI96" s="3" t="s">
        <v>10</v>
      </c>
      <c r="AJ96" s="3">
        <f>SUM(AJ89:AJ95)</f>
        <v>0</v>
      </c>
      <c r="AM96" s="3" t="s">
        <v>27</v>
      </c>
      <c r="AN96" s="3">
        <f>SUM(AN89:AN95)</f>
        <v>0</v>
      </c>
    </row>
    <row r="97" spans="1:40" hidden="1" outlineLevel="1">
      <c r="C97" s="19"/>
      <c r="E97" s="3" t="s">
        <v>18</v>
      </c>
      <c r="F97" s="3">
        <f>F96+AJ83</f>
        <v>167</v>
      </c>
      <c r="G97" s="4"/>
      <c r="I97" s="3" t="s">
        <v>17</v>
      </c>
      <c r="J97" s="4">
        <f>J96+AN83</f>
        <v>238.58</v>
      </c>
      <c r="O97" s="3" t="s">
        <v>18</v>
      </c>
      <c r="P97" s="3">
        <f>P96+F97</f>
        <v>167</v>
      </c>
      <c r="S97" s="3" t="s">
        <v>17</v>
      </c>
      <c r="T97" s="3">
        <f>T96+J97</f>
        <v>238.58</v>
      </c>
      <c r="Y97" s="3" t="s">
        <v>18</v>
      </c>
      <c r="Z97" s="3">
        <f>Z96+P97</f>
        <v>167</v>
      </c>
      <c r="AC97" s="3" t="s">
        <v>17</v>
      </c>
      <c r="AD97" s="3">
        <f>AD96+T97</f>
        <v>238.58</v>
      </c>
      <c r="AI97" s="3" t="s">
        <v>18</v>
      </c>
      <c r="AJ97" s="3">
        <f>AJ96+Z97</f>
        <v>167</v>
      </c>
      <c r="AM97" s="3" t="s">
        <v>17</v>
      </c>
      <c r="AN97" s="3">
        <f>AN96+AD97</f>
        <v>238.58</v>
      </c>
    </row>
    <row r="98" spans="1:40" hidden="1" outlineLevel="1">
      <c r="C98" s="19"/>
      <c r="E98" s="5" t="s">
        <v>19</v>
      </c>
      <c r="F98" s="5">
        <f>F96+AJ84</f>
        <v>153</v>
      </c>
      <c r="G98" s="24"/>
      <c r="I98" s="3" t="s">
        <v>14</v>
      </c>
      <c r="J98" s="4" t="e">
        <f>J96/F96</f>
        <v>#DIV/0!</v>
      </c>
      <c r="O98" s="5" t="s">
        <v>19</v>
      </c>
      <c r="P98" s="5">
        <f>P96+F98</f>
        <v>153</v>
      </c>
      <c r="Q98" s="5"/>
      <c r="S98" s="3" t="s">
        <v>14</v>
      </c>
      <c r="T98" s="3" t="e">
        <f>T96/P96</f>
        <v>#DIV/0!</v>
      </c>
      <c r="W98" s="5"/>
      <c r="X98" s="5"/>
      <c r="Y98" s="5" t="s">
        <v>19</v>
      </c>
      <c r="Z98" s="5">
        <f>Z96+P98</f>
        <v>153</v>
      </c>
      <c r="AA98" s="5"/>
      <c r="AC98" s="3" t="s">
        <v>14</v>
      </c>
      <c r="AD98" s="3" t="e">
        <f>AD96/Z96</f>
        <v>#DIV/0!</v>
      </c>
      <c r="AG98" s="5"/>
      <c r="AH98" s="5"/>
      <c r="AI98" s="5" t="s">
        <v>19</v>
      </c>
      <c r="AJ98" s="5">
        <f>AJ96+Z98</f>
        <v>153</v>
      </c>
      <c r="AK98" s="5"/>
      <c r="AM98" s="3" t="s">
        <v>14</v>
      </c>
      <c r="AN98" s="3" t="e">
        <f>AN96/AJ96</f>
        <v>#DIV/0!</v>
      </c>
    </row>
    <row r="99" spans="1:40" ht="21.75" hidden="1" outlineLevel="1" thickBot="1">
      <c r="C99" s="19"/>
      <c r="G99" s="4"/>
      <c r="H99" s="23"/>
      <c r="I99" s="5" t="s">
        <v>16</v>
      </c>
      <c r="J99" s="24">
        <f>J97/F98</f>
        <v>1.5593464052287582</v>
      </c>
      <c r="M99" s="5"/>
      <c r="N99" s="5"/>
      <c r="S99" s="5" t="s">
        <v>16</v>
      </c>
      <c r="T99" s="5">
        <f>T97/P98</f>
        <v>1.5593464052287582</v>
      </c>
      <c r="AC99" s="5" t="s">
        <v>16</v>
      </c>
      <c r="AD99" s="5">
        <f>AD97/Z98</f>
        <v>1.5593464052287582</v>
      </c>
      <c r="AM99" s="5" t="s">
        <v>16</v>
      </c>
      <c r="AN99" s="5">
        <f>AN97/AJ98</f>
        <v>1.5593464052287582</v>
      </c>
    </row>
    <row r="100" spans="1:40" ht="21.75" collapsed="1" thickBot="1">
      <c r="A100" s="87" t="s">
        <v>596</v>
      </c>
      <c r="D100" s="94"/>
      <c r="J100" s="23"/>
    </row>
    <row r="101" spans="1:40" ht="23.25" hidden="1" customHeight="1" outlineLevel="1" thickBot="1">
      <c r="B101" s="184" t="s">
        <v>597</v>
      </c>
      <c r="C101" s="190" t="s">
        <v>594</v>
      </c>
      <c r="D101" s="191"/>
      <c r="E101" s="192"/>
      <c r="F101" s="193" t="str">
        <f>GradeStatus(Z97)&amp;"--"&amp;Z97&amp;" Credits "&amp;F112&amp;" In Progress"</f>
        <v>Senior--167 Credits 153 In Progress</v>
      </c>
      <c r="G101" s="194"/>
      <c r="H101" s="194"/>
      <c r="I101" s="194"/>
      <c r="J101" s="194"/>
      <c r="L101" s="184" t="s">
        <v>94</v>
      </c>
      <c r="M101" s="195" t="s">
        <v>591</v>
      </c>
      <c r="N101" s="196"/>
      <c r="O101" s="197"/>
      <c r="P101" s="182" t="str">
        <f>GradeStatus(F112)&amp;"--"&amp;F112&amp;" Credits "&amp;P112&amp;" In Progress"</f>
        <v>Senior--153 Credits 153 In Progress</v>
      </c>
      <c r="Q101" s="183"/>
      <c r="R101" s="183"/>
      <c r="S101" s="183"/>
      <c r="T101" s="183"/>
      <c r="V101" s="184" t="s">
        <v>95</v>
      </c>
      <c r="W101" s="185" t="s">
        <v>590</v>
      </c>
      <c r="X101" s="186"/>
      <c r="Y101" s="187"/>
      <c r="Z101" s="188" t="str">
        <f>GradeStatus(P112)&amp;"--"&amp;P112&amp;" Credits "&amp;Z112&amp;" In Progress"</f>
        <v>Senior--153 Credits 153 In Progress</v>
      </c>
      <c r="AA101" s="189"/>
      <c r="AB101" s="189"/>
      <c r="AC101" s="189"/>
      <c r="AD101" s="189"/>
      <c r="AF101" s="184" t="s">
        <v>96</v>
      </c>
      <c r="AG101" s="177" t="s">
        <v>589</v>
      </c>
      <c r="AH101" s="178"/>
      <c r="AI101" s="179"/>
      <c r="AJ101" s="180" t="str">
        <f>GradeStatus(Z111)&amp;"--"&amp;Z111&amp;" Credits "&amp;AJ111&amp;" In Progress"</f>
        <v>Senior--167 Credits 167 In Progress</v>
      </c>
      <c r="AK101" s="181"/>
      <c r="AL101" s="181"/>
      <c r="AM101" s="181"/>
      <c r="AN101" s="181"/>
    </row>
    <row r="102" spans="1:40" ht="15.75" hidden="1" outlineLevel="1" thickBot="1">
      <c r="B102" s="184"/>
      <c r="C102" s="3" t="s">
        <v>20</v>
      </c>
      <c r="D102" s="3" t="s">
        <v>24</v>
      </c>
      <c r="E102" s="3" t="s">
        <v>25</v>
      </c>
      <c r="F102" s="3" t="s">
        <v>10</v>
      </c>
      <c r="G102" s="3" t="s">
        <v>26</v>
      </c>
      <c r="H102" s="3" t="s">
        <v>12</v>
      </c>
      <c r="I102" s="3" t="s">
        <v>36</v>
      </c>
      <c r="J102" s="3" t="s">
        <v>28</v>
      </c>
      <c r="L102" s="184"/>
      <c r="M102" s="3" t="s">
        <v>20</v>
      </c>
      <c r="N102" s="3" t="s">
        <v>24</v>
      </c>
      <c r="O102" s="3" t="s">
        <v>25</v>
      </c>
      <c r="P102" s="3" t="s">
        <v>10</v>
      </c>
      <c r="Q102" s="3" t="s">
        <v>26</v>
      </c>
      <c r="R102" s="3" t="s">
        <v>12</v>
      </c>
      <c r="S102" s="3" t="s">
        <v>36</v>
      </c>
      <c r="T102" s="3" t="s">
        <v>28</v>
      </c>
      <c r="V102" s="184"/>
      <c r="W102" s="3" t="s">
        <v>20</v>
      </c>
      <c r="X102" s="3" t="s">
        <v>24</v>
      </c>
      <c r="Y102" s="3" t="s">
        <v>25</v>
      </c>
      <c r="Z102" s="3" t="s">
        <v>10</v>
      </c>
      <c r="AA102" s="3" t="s">
        <v>26</v>
      </c>
      <c r="AB102" s="3" t="s">
        <v>12</v>
      </c>
      <c r="AC102" s="3" t="s">
        <v>36</v>
      </c>
      <c r="AD102" s="3" t="s">
        <v>28</v>
      </c>
      <c r="AF102" s="184"/>
      <c r="AG102" s="3" t="s">
        <v>20</v>
      </c>
      <c r="AH102" s="3" t="s">
        <v>24</v>
      </c>
      <c r="AI102" s="3" t="s">
        <v>25</v>
      </c>
      <c r="AJ102" s="3" t="s">
        <v>10</v>
      </c>
      <c r="AK102" s="3" t="s">
        <v>26</v>
      </c>
      <c r="AL102" s="3" t="s">
        <v>12</v>
      </c>
      <c r="AM102" s="3" t="s">
        <v>36</v>
      </c>
      <c r="AN102" s="3" t="s">
        <v>28</v>
      </c>
    </row>
    <row r="103" spans="1:40" ht="15.75" hidden="1" outlineLevel="1" thickBot="1">
      <c r="B103" s="184"/>
      <c r="C103" s="97"/>
      <c r="D103" s="3" t="str">
        <f>IF(Table322214812[[#This Row],[Course]]= "","",IFERROR(VLOOKUP(Table322214812[[#This Row],[Course]],COURSELIST[],2,FALSE),"Course Not Found!"))</f>
        <v/>
      </c>
      <c r="E103" s="3" t="str">
        <f>IF(Table322214812[[#This Row],[Course]]= "","",IFERROR(VLOOKUP(Table322214812[[#This Row],[Course]],COURSELIST[],3,FALSE),""))</f>
        <v/>
      </c>
      <c r="F103" s="3" t="str">
        <f>IF(Table322214812[[#This Row],[Course]]= "","",IFERROR(VLOOKUP(Table322214812[[#This Row],[Course]],COURSELIST[],4,FALSE),""))</f>
        <v/>
      </c>
      <c r="H103" s="3" t="str">
        <f>IF(Table322214812[[#This Row],[Course]]= "","",IFERROR(VLOOKUP(Table322214812[[#This Row],[Course]],COURSELIST[],6,FALSE),""))</f>
        <v/>
      </c>
      <c r="I103" s="3" t="str">
        <f>IF(Table322214812[[#This Row],[Course]]= "","",IFERROR(VLOOKUP(Table322214812[[#This Row],[Course]],COURSELIST[],7,FALSE),""))</f>
        <v/>
      </c>
      <c r="J103" s="3" t="str">
        <f>IF(Table322214812[[#This Row],[Course]]= "","",IFERROR(VLOOKUP(Table322214812[[#This Row],[Course]],COURSELIST[],8,FALSE),""))</f>
        <v/>
      </c>
      <c r="L103" s="184"/>
      <c r="M103" s="27"/>
      <c r="N103" s="3" t="str">
        <f>IF(Table1433445014[[#This Row],[Course]]= "","",IFERROR(VLOOKUP(Table1433445014[[#This Row],[Course]],COURSELIST[],2,FALSE),"Course Not Found!"))</f>
        <v/>
      </c>
      <c r="O103" s="3" t="str">
        <f>IF(Table1433445014[[#This Row],[Course]]= "","",IFERROR(VLOOKUP(Table1433445014[[#This Row],[Course]],COURSELIST[],3,FALSE),""))</f>
        <v/>
      </c>
      <c r="P103" s="3" t="str">
        <f>IF(Table1433445014[[#This Row],[Course]]= "","",IFERROR(VLOOKUP(Table1433445014[[#This Row],[Course]],COURSELIST[],4,FALSE),""))</f>
        <v/>
      </c>
      <c r="R103" s="3" t="str">
        <f>IF(Table1433445014[[#This Row],[Course]]= "","",IFERROR(VLOOKUP(Table1433445014[[#This Row],[Course]],COURSELIST[],6,FALSE),""))</f>
        <v/>
      </c>
      <c r="S103" s="3" t="str">
        <f>IF(Table1433445014[[#This Row],[Course]]= "","",IFERROR(VLOOKUP(Table1433445014[[#This Row],[Course]],COURSELIST[],7,FALSE),""))</f>
        <v/>
      </c>
      <c r="T103" s="3" t="str">
        <f>IF(Table1433445014[[#This Row],[Course]]= "","",IFERROR(VLOOKUP(Table1433445014[[#This Row],[Course]],COURSELIST[],8,FALSE),""))</f>
        <v/>
      </c>
      <c r="V103" s="184"/>
      <c r="W103" s="25"/>
      <c r="X103" s="3" t="str">
        <f>IF(Table928394913[[#This Row],[Course]]= "","",IFERROR(VLOOKUP(Table928394913[[#This Row],[Course]],COURSELIST[],2,FALSE),"Course Not Found!"))</f>
        <v/>
      </c>
      <c r="Y103" s="3" t="str">
        <f>IF(Table928394913[[#This Row],[Course]]= "","",IFERROR(VLOOKUP(Table928394913[[#This Row],[Course]],COURSELIST[],3,FALSE),""))</f>
        <v/>
      </c>
      <c r="Z103" s="3" t="str">
        <f>IF(Table928394913[[#This Row],[Course]]= "","",IFERROR(VLOOKUP(Table928394913[[#This Row],[Course]],COURSELIST[],4,FALSE),""))</f>
        <v/>
      </c>
      <c r="AB103" s="3" t="str">
        <f>IF(Table928394913[[#This Row],[Course]]= "","",IFERROR(VLOOKUP(Table928394913[[#This Row],[Course]],COURSELIST[],6,FALSE),""))</f>
        <v/>
      </c>
      <c r="AC103" s="3" t="str">
        <f>IF(Table928394913[[#This Row],[Course]]= "","",IFERROR(VLOOKUP(Table928394913[[#This Row],[Course]],COURSELIST[],7,FALSE),""))</f>
        <v/>
      </c>
      <c r="AD103" s="3" t="str">
        <f>IF(Table928394913[[#This Row],[Course]]= "","",IFERROR(VLOOKUP(Table928394913[[#This Row],[Course]],COURSELIST[],8,FALSE),""))</f>
        <v/>
      </c>
      <c r="AF103" s="184"/>
      <c r="AG103" s="25"/>
      <c r="AH103" s="3" t="str">
        <f>IF(Table9283949525515[[#This Row],[Course]]= "","",IFERROR(VLOOKUP(Table9283949525515[[#This Row],[Course]],COURSELIST[],2,FALSE),"Course Not Found!"))</f>
        <v/>
      </c>
      <c r="AI103" s="3" t="str">
        <f>IF(Table9283949525515[[#This Row],[Course]]= "","",IFERROR(VLOOKUP(Table9283949525515[[#This Row],[Course]],COURSELIST[],3,FALSE),""))</f>
        <v/>
      </c>
      <c r="AJ103" s="3" t="str">
        <f>IF(Table9283949525515[[#This Row],[Course]]= "","",IFERROR(VLOOKUP(Table9283949525515[[#This Row],[Course]],COURSELIST[],4,FALSE),""))</f>
        <v/>
      </c>
      <c r="AL103" s="3" t="str">
        <f>IF(Table9283949525515[[#This Row],[Course]]= "","",IFERROR(VLOOKUP(Table9283949525515[[#This Row],[Course]],COURSELIST[],6,FALSE),""))</f>
        <v/>
      </c>
      <c r="AM103" s="3" t="str">
        <f>IF(Table9283949525515[[#This Row],[Course]]= "","",IFERROR(VLOOKUP(Table9283949525515[[#This Row],[Course]],COURSELIST[],7,FALSE),""))</f>
        <v/>
      </c>
      <c r="AN103" s="3" t="str">
        <f>IF(Table9283949525515[[#This Row],[Course]]= "","",IFERROR(VLOOKUP(Table9283949525515[[#This Row],[Course]],COURSELIST[],8,FALSE),""))</f>
        <v/>
      </c>
    </row>
    <row r="104" spans="1:40" ht="15.75" hidden="1" outlineLevel="1" thickBot="1">
      <c r="B104" s="184"/>
      <c r="C104" s="96"/>
      <c r="D104" s="3" t="str">
        <f>IF(Table322214812[[#This Row],[Course]]= "","",IFERROR(VLOOKUP(Table322214812[[#This Row],[Course]],COURSELIST[],2,FALSE),"Course Not Found!"))</f>
        <v/>
      </c>
      <c r="E104" s="3" t="str">
        <f>IF(Table322214812[[#This Row],[Course]]= "","",IFERROR(VLOOKUP(Table322214812[[#This Row],[Course]],COURSELIST[],3,FALSE),""))</f>
        <v/>
      </c>
      <c r="F104" s="3" t="str">
        <f>IF(Table322214812[[#This Row],[Course]]= "","",IFERROR(VLOOKUP(Table322214812[[#This Row],[Course]],COURSELIST[],4,FALSE),""))</f>
        <v/>
      </c>
      <c r="H104" s="3" t="str">
        <f>IF(Table322214812[[#This Row],[Course]]= "","",IFERROR(VLOOKUP(Table322214812[[#This Row],[Course]],COURSELIST[],6,FALSE),""))</f>
        <v/>
      </c>
      <c r="I104" s="3" t="str">
        <f>IF(Table322214812[[#This Row],[Course]]= "","",IFERROR(VLOOKUP(Table322214812[[#This Row],[Course]],COURSELIST[],7,FALSE),""))</f>
        <v/>
      </c>
      <c r="J104" s="3" t="str">
        <f>IF(Table322214812[[#This Row],[Course]]= "","",IFERROR(VLOOKUP(Table322214812[[#This Row],[Course]],COURSELIST[],8,FALSE),""))</f>
        <v/>
      </c>
      <c r="K104" s="5"/>
      <c r="L104" s="184"/>
      <c r="M104" s="25"/>
      <c r="N104" s="3" t="str">
        <f>IF(Table1433445014[[#This Row],[Course]]= "","",IFERROR(VLOOKUP(Table1433445014[[#This Row],[Course]],COURSELIST[],2,FALSE),"Course Not Found!"))</f>
        <v/>
      </c>
      <c r="O104" s="3" t="str">
        <f>IF(Table1433445014[[#This Row],[Course]]= "","",IFERROR(VLOOKUP(Table1433445014[[#This Row],[Course]],COURSELIST[],3,FALSE),""))</f>
        <v/>
      </c>
      <c r="P104" s="3" t="str">
        <f>IF(Table1433445014[[#This Row],[Course]]= "","",IFERROR(VLOOKUP(Table1433445014[[#This Row],[Course]],COURSELIST[],4,FALSE),""))</f>
        <v/>
      </c>
      <c r="R104" s="3" t="str">
        <f>IF(Table1433445014[[#This Row],[Course]]= "","",IFERROR(VLOOKUP(Table1433445014[[#This Row],[Course]],COURSELIST[],6,FALSE),""))</f>
        <v/>
      </c>
      <c r="S104" s="3" t="str">
        <f>IF(Table1433445014[[#This Row],[Course]]= "","",IFERROR(VLOOKUP(Table1433445014[[#This Row],[Course]],COURSELIST[],7,FALSE),""))</f>
        <v/>
      </c>
      <c r="T104" s="3" t="str">
        <f>IF(Table1433445014[[#This Row],[Course]]= "","",IFERROR(VLOOKUP(Table1433445014[[#This Row],[Course]],COURSELIST[],8,FALSE),""))</f>
        <v/>
      </c>
      <c r="U104" s="5"/>
      <c r="V104" s="184"/>
      <c r="W104" s="25"/>
      <c r="X104" s="3" t="str">
        <f>IF(Table928394913[[#This Row],[Course]]= "","",IFERROR(VLOOKUP(Table928394913[[#This Row],[Course]],COURSELIST[],2,FALSE),"Course Not Found!"))</f>
        <v/>
      </c>
      <c r="Y104" s="3" t="str">
        <f>IF(Table928394913[[#This Row],[Course]]= "","",IFERROR(VLOOKUP(Table928394913[[#This Row],[Course]],COURSELIST[],3,FALSE),""))</f>
        <v/>
      </c>
      <c r="Z104" s="3" t="str">
        <f>IF(Table928394913[[#This Row],[Course]]= "","",IFERROR(VLOOKUP(Table928394913[[#This Row],[Course]],COURSELIST[],4,FALSE),""))</f>
        <v/>
      </c>
      <c r="AB104" s="3" t="str">
        <f>IF(Table928394913[[#This Row],[Course]]= "","",IFERROR(VLOOKUP(Table928394913[[#This Row],[Course]],COURSELIST[],6,FALSE),""))</f>
        <v/>
      </c>
      <c r="AC104" s="3" t="str">
        <f>IF(Table928394913[[#This Row],[Course]]= "","",IFERROR(VLOOKUP(Table928394913[[#This Row],[Course]],COURSELIST[],7,FALSE),""))</f>
        <v/>
      </c>
      <c r="AD104" s="3" t="str">
        <f>IF(Table928394913[[#This Row],[Course]]= "","",IFERROR(VLOOKUP(Table928394913[[#This Row],[Course]],COURSELIST[],8,FALSE),""))</f>
        <v/>
      </c>
      <c r="AF104" s="184"/>
      <c r="AG104" s="25"/>
      <c r="AH104" s="3" t="str">
        <f>IF(Table9283949525515[[#This Row],[Course]]= "","",IFERROR(VLOOKUP(Table9283949525515[[#This Row],[Course]],COURSELIST[],2,FALSE),"Course Not Found!"))</f>
        <v/>
      </c>
      <c r="AI104" s="3" t="str">
        <f>IF(Table9283949525515[[#This Row],[Course]]= "","",IFERROR(VLOOKUP(Table9283949525515[[#This Row],[Course]],COURSELIST[],3,FALSE),""))</f>
        <v/>
      </c>
      <c r="AJ104" s="3" t="str">
        <f>IF(Table9283949525515[[#This Row],[Course]]= "","",IFERROR(VLOOKUP(Table9283949525515[[#This Row],[Course]],COURSELIST[],4,FALSE),""))</f>
        <v/>
      </c>
      <c r="AL104" s="3" t="str">
        <f>IF(Table9283949525515[[#This Row],[Course]]= "","",IFERROR(VLOOKUP(Table9283949525515[[#This Row],[Course]],COURSELIST[],6,FALSE),""))</f>
        <v/>
      </c>
      <c r="AM104" s="3" t="str">
        <f>IF(Table9283949525515[[#This Row],[Course]]= "","",IFERROR(VLOOKUP(Table9283949525515[[#This Row],[Course]],COURSELIST[],7,FALSE),""))</f>
        <v/>
      </c>
      <c r="AN104" s="3" t="str">
        <f>IF(Table9283949525515[[#This Row],[Course]]= "","",IFERROR(VLOOKUP(Table9283949525515[[#This Row],[Course]],COURSELIST[],8,FALSE),""))</f>
        <v/>
      </c>
    </row>
    <row r="105" spans="1:40" ht="15.75" hidden="1" outlineLevel="1" thickBot="1">
      <c r="B105" s="184"/>
      <c r="C105" s="96"/>
      <c r="D105" s="3" t="str">
        <f>IF(Table322214812[[#This Row],[Course]]= "","",IFERROR(VLOOKUP(Table322214812[[#This Row],[Course]],COURSELIST[],2,FALSE),"Course Not Found!"))</f>
        <v/>
      </c>
      <c r="E105" s="3" t="str">
        <f>IF(Table322214812[[#This Row],[Course]]= "","",IFERROR(VLOOKUP(Table322214812[[#This Row],[Course]],COURSELIST[],3,FALSE),""))</f>
        <v/>
      </c>
      <c r="F105" s="3" t="str">
        <f>IF(Table322214812[[#This Row],[Course]]= "","",IFERROR(VLOOKUP(Table322214812[[#This Row],[Course]],COURSELIST[],4,FALSE),""))</f>
        <v/>
      </c>
      <c r="H105" s="3" t="str">
        <f>IF(Table322214812[[#This Row],[Course]]= "","",IFERROR(VLOOKUP(Table322214812[[#This Row],[Course]],COURSELIST[],6,FALSE),""))</f>
        <v/>
      </c>
      <c r="I105" s="3" t="str">
        <f>IF(Table322214812[[#This Row],[Course]]= "","",IFERROR(VLOOKUP(Table322214812[[#This Row],[Course]],COURSELIST[],7,FALSE),""))</f>
        <v/>
      </c>
      <c r="J105" s="3" t="str">
        <f>IF(Table322214812[[#This Row],[Course]]= "","",IFERROR(VLOOKUP(Table322214812[[#This Row],[Course]],COURSELIST[],8,FALSE),""))</f>
        <v/>
      </c>
      <c r="L105" s="184"/>
      <c r="M105" s="25"/>
      <c r="N105" s="3" t="str">
        <f>IF(Table1433445014[[#This Row],[Course]]= "","",IFERROR(VLOOKUP(Table1433445014[[#This Row],[Course]],COURSELIST[],2,FALSE),"Course Not Found!"))</f>
        <v/>
      </c>
      <c r="O105" s="3" t="str">
        <f>IF(Table1433445014[[#This Row],[Course]]= "","",IFERROR(VLOOKUP(Table1433445014[[#This Row],[Course]],COURSELIST[],3,FALSE),""))</f>
        <v/>
      </c>
      <c r="P105" s="3" t="str">
        <f>IF(Table1433445014[[#This Row],[Course]]= "","",IFERROR(VLOOKUP(Table1433445014[[#This Row],[Course]],COURSELIST[],4,FALSE),""))</f>
        <v/>
      </c>
      <c r="R105" s="3" t="str">
        <f>IF(Table1433445014[[#This Row],[Course]]= "","",IFERROR(VLOOKUP(Table1433445014[[#This Row],[Course]],COURSELIST[],6,FALSE),""))</f>
        <v/>
      </c>
      <c r="S105" s="3" t="str">
        <f>IF(Table1433445014[[#This Row],[Course]]= "","",IFERROR(VLOOKUP(Table1433445014[[#This Row],[Course]],COURSELIST[],7,FALSE),""))</f>
        <v/>
      </c>
      <c r="T105" s="3" t="str">
        <f>IF(Table1433445014[[#This Row],[Course]]= "","",IFERROR(VLOOKUP(Table1433445014[[#This Row],[Course]],COURSELIST[],8,FALSE),""))</f>
        <v/>
      </c>
      <c r="V105" s="184"/>
      <c r="W105" s="16"/>
      <c r="X105" s="3" t="str">
        <f>IF(Table928394913[[#This Row],[Course]]= "","",IFERROR(VLOOKUP(Table928394913[[#This Row],[Course]],COURSELIST[],2,FALSE),"Course Not Found!"))</f>
        <v/>
      </c>
      <c r="Y105" s="3" t="str">
        <f>IF(Table928394913[[#This Row],[Course]]= "","",IFERROR(VLOOKUP(Table928394913[[#This Row],[Course]],COURSELIST[],3,FALSE),""))</f>
        <v/>
      </c>
      <c r="Z105" s="3" t="str">
        <f>IF(Table928394913[[#This Row],[Course]]= "","",IFERROR(VLOOKUP(Table928394913[[#This Row],[Course]],COURSELIST[],4,FALSE),""))</f>
        <v/>
      </c>
      <c r="AB105" s="3" t="str">
        <f>IF(Table928394913[[#This Row],[Course]]= "","",IFERROR(VLOOKUP(Table928394913[[#This Row],[Course]],COURSELIST[],6,FALSE),""))</f>
        <v/>
      </c>
      <c r="AC105" s="3" t="str">
        <f>IF(Table928394913[[#This Row],[Course]]= "","",IFERROR(VLOOKUP(Table928394913[[#This Row],[Course]],COURSELIST[],7,FALSE),""))</f>
        <v/>
      </c>
      <c r="AD105" s="3" t="str">
        <f>IF(Table928394913[[#This Row],[Course]]= "","",IFERROR(VLOOKUP(Table928394913[[#This Row],[Course]],COURSELIST[],8,FALSE),""))</f>
        <v/>
      </c>
      <c r="AF105" s="184"/>
      <c r="AG105" s="16"/>
      <c r="AH105" s="3" t="str">
        <f>IF(Table9283949525515[[#This Row],[Course]]= "","",IFERROR(VLOOKUP(Table9283949525515[[#This Row],[Course]],COURSELIST[],2,FALSE),"Course Not Found!"))</f>
        <v/>
      </c>
      <c r="AI105" s="3" t="str">
        <f>IF(Table9283949525515[[#This Row],[Course]]= "","",IFERROR(VLOOKUP(Table9283949525515[[#This Row],[Course]],COURSELIST[],3,FALSE),""))</f>
        <v/>
      </c>
      <c r="AJ105" s="3" t="str">
        <f>IF(Table9283949525515[[#This Row],[Course]]= "","",IFERROR(VLOOKUP(Table9283949525515[[#This Row],[Course]],COURSELIST[],4,FALSE),""))</f>
        <v/>
      </c>
      <c r="AL105" s="3" t="str">
        <f>IF(Table9283949525515[[#This Row],[Course]]= "","",IFERROR(VLOOKUP(Table9283949525515[[#This Row],[Course]],COURSELIST[],6,FALSE),""))</f>
        <v/>
      </c>
      <c r="AM105" s="3" t="str">
        <f>IF(Table9283949525515[[#This Row],[Course]]= "","",IFERROR(VLOOKUP(Table9283949525515[[#This Row],[Course]],COURSELIST[],7,FALSE),""))</f>
        <v/>
      </c>
      <c r="AN105" s="3" t="str">
        <f>IF(Table9283949525515[[#This Row],[Course]]= "","",IFERROR(VLOOKUP(Table9283949525515[[#This Row],[Course]],COURSELIST[],8,FALSE),""))</f>
        <v/>
      </c>
    </row>
    <row r="106" spans="1:40" ht="15.75" hidden="1" outlineLevel="1" thickBot="1">
      <c r="B106" s="184"/>
      <c r="C106" s="96"/>
      <c r="D106" s="3" t="str">
        <f>IF(Table322214812[[#This Row],[Course]]= "","",IFERROR(VLOOKUP(Table322214812[[#This Row],[Course]],COURSELIST[],2,FALSE),"Course Not Found!"))</f>
        <v/>
      </c>
      <c r="E106" s="3" t="str">
        <f>IF(Table322214812[[#This Row],[Course]]= "","",IFERROR(VLOOKUP(Table322214812[[#This Row],[Course]],COURSELIST[],3,FALSE),""))</f>
        <v/>
      </c>
      <c r="F106" s="3" t="str">
        <f>IF(Table322214812[[#This Row],[Course]]= "","",IFERROR(VLOOKUP(Table322214812[[#This Row],[Course]],COURSELIST[],4,FALSE),""))</f>
        <v/>
      </c>
      <c r="H106" s="3" t="str">
        <f>IF(Table322214812[[#This Row],[Course]]= "","",IFERROR(VLOOKUP(Table322214812[[#This Row],[Course]],COURSELIST[],6,FALSE),""))</f>
        <v/>
      </c>
      <c r="I106" s="3" t="str">
        <f>IF(Table322214812[[#This Row],[Course]]= "","",IFERROR(VLOOKUP(Table322214812[[#This Row],[Course]],COURSELIST[],7,FALSE),""))</f>
        <v/>
      </c>
      <c r="J106" s="3" t="str">
        <f>IF(Table322214812[[#This Row],[Course]]= "","",IFERROR(VLOOKUP(Table322214812[[#This Row],[Course]],COURSELIST[],8,FALSE),""))</f>
        <v/>
      </c>
      <c r="L106" s="184"/>
      <c r="M106" s="25"/>
      <c r="N106" s="3" t="str">
        <f>IF(Table1433445014[[#This Row],[Course]]= "","",IFERROR(VLOOKUP(Table1433445014[[#This Row],[Course]],COURSELIST[],2,FALSE),"Course Not Found!"))</f>
        <v/>
      </c>
      <c r="O106" s="3" t="str">
        <f>IF(Table1433445014[[#This Row],[Course]]= "","",IFERROR(VLOOKUP(Table1433445014[[#This Row],[Course]],COURSELIST[],3,FALSE),""))</f>
        <v/>
      </c>
      <c r="P106" s="3" t="str">
        <f>IF(Table1433445014[[#This Row],[Course]]= "","",IFERROR(VLOOKUP(Table1433445014[[#This Row],[Course]],COURSELIST[],4,FALSE),""))</f>
        <v/>
      </c>
      <c r="R106" s="3" t="str">
        <f>IF(Table1433445014[[#This Row],[Course]]= "","",IFERROR(VLOOKUP(Table1433445014[[#This Row],[Course]],COURSELIST[],6,FALSE),""))</f>
        <v/>
      </c>
      <c r="S106" s="3" t="str">
        <f>IF(Table1433445014[[#This Row],[Course]]= "","",IFERROR(VLOOKUP(Table1433445014[[#This Row],[Course]],COURSELIST[],7,FALSE),""))</f>
        <v/>
      </c>
      <c r="T106" s="3" t="str">
        <f>IF(Table1433445014[[#This Row],[Course]]= "","",IFERROR(VLOOKUP(Table1433445014[[#This Row],[Course]],COURSELIST[],8,FALSE),""))</f>
        <v/>
      </c>
      <c r="V106" s="184"/>
      <c r="W106" s="16"/>
      <c r="X106" s="3" t="str">
        <f>IF(Table928394913[[#This Row],[Course]]= "","",IFERROR(VLOOKUP(Table928394913[[#This Row],[Course]],COURSELIST[],2,FALSE),"Course Not Found!"))</f>
        <v/>
      </c>
      <c r="Y106" s="3" t="str">
        <f>IF(Table928394913[[#This Row],[Course]]= "","",IFERROR(VLOOKUP(Table928394913[[#This Row],[Course]],COURSELIST[],3,FALSE),""))</f>
        <v/>
      </c>
      <c r="Z106" s="3" t="str">
        <f>IF(Table928394913[[#This Row],[Course]]= "","",IFERROR(VLOOKUP(Table928394913[[#This Row],[Course]],COURSELIST[],4,FALSE),""))</f>
        <v/>
      </c>
      <c r="AB106" s="3" t="str">
        <f>IF(Table928394913[[#This Row],[Course]]= "","",IFERROR(VLOOKUP(Table928394913[[#This Row],[Course]],COURSELIST[],6,FALSE),""))</f>
        <v/>
      </c>
      <c r="AC106" s="3" t="str">
        <f>IF(Table928394913[[#This Row],[Course]]= "","",IFERROR(VLOOKUP(Table928394913[[#This Row],[Course]],COURSELIST[],7,FALSE),""))</f>
        <v/>
      </c>
      <c r="AD106" s="3" t="str">
        <f>IF(Table928394913[[#This Row],[Course]]= "","",IFERROR(VLOOKUP(Table928394913[[#This Row],[Course]],COURSELIST[],8,FALSE),""))</f>
        <v/>
      </c>
      <c r="AF106" s="184"/>
      <c r="AG106" s="16"/>
      <c r="AH106" s="3" t="str">
        <f>IF(Table9283949525515[[#This Row],[Course]]= "","",IFERROR(VLOOKUP(Table9283949525515[[#This Row],[Course]],COURSELIST[],2,FALSE),"Course Not Found!"))</f>
        <v/>
      </c>
      <c r="AI106" s="3" t="str">
        <f>IF(Table9283949525515[[#This Row],[Course]]= "","",IFERROR(VLOOKUP(Table9283949525515[[#This Row],[Course]],COURSELIST[],3,FALSE),""))</f>
        <v/>
      </c>
      <c r="AJ106" s="3" t="str">
        <f>IF(Table9283949525515[[#This Row],[Course]]= "","",IFERROR(VLOOKUP(Table9283949525515[[#This Row],[Course]],COURSELIST[],4,FALSE),""))</f>
        <v/>
      </c>
      <c r="AL106" s="3" t="str">
        <f>IF(Table9283949525515[[#This Row],[Course]]= "","",IFERROR(VLOOKUP(Table9283949525515[[#This Row],[Course]],COURSELIST[],6,FALSE),""))</f>
        <v/>
      </c>
      <c r="AM106" s="3" t="str">
        <f>IF(Table9283949525515[[#This Row],[Course]]= "","",IFERROR(VLOOKUP(Table9283949525515[[#This Row],[Course]],COURSELIST[],7,FALSE),""))</f>
        <v/>
      </c>
      <c r="AN106" s="3" t="str">
        <f>IF(Table9283949525515[[#This Row],[Course]]= "","",IFERROR(VLOOKUP(Table9283949525515[[#This Row],[Course]],COURSELIST[],8,FALSE),""))</f>
        <v/>
      </c>
    </row>
    <row r="107" spans="1:40" ht="15.75" hidden="1" outlineLevel="1" thickBot="1">
      <c r="B107" s="184"/>
      <c r="C107" s="96"/>
      <c r="D107" s="3" t="str">
        <f>IF(Table322214812[[#This Row],[Course]]= "","",IFERROR(VLOOKUP(Table322214812[[#This Row],[Course]],COURSELIST[],2,FALSE),"Course Not Found!"))</f>
        <v/>
      </c>
      <c r="E107" s="3" t="str">
        <f>IF(Table322214812[[#This Row],[Course]]= "","",IFERROR(VLOOKUP(Table322214812[[#This Row],[Course]],COURSELIST[],3,FALSE),""))</f>
        <v/>
      </c>
      <c r="F107" s="3" t="str">
        <f>IF(Table322214812[[#This Row],[Course]]= "","",IFERROR(VLOOKUP(Table322214812[[#This Row],[Course]],COURSELIST[],4,FALSE),""))</f>
        <v/>
      </c>
      <c r="H107" s="3" t="str">
        <f>IF(Table322214812[[#This Row],[Course]]= "","",IFERROR(VLOOKUP(Table322214812[[#This Row],[Course]],COURSELIST[],6,FALSE),""))</f>
        <v/>
      </c>
      <c r="I107" s="3" t="str">
        <f>IF(Table322214812[[#This Row],[Course]]= "","",IFERROR(VLOOKUP(Table322214812[[#This Row],[Course]],COURSELIST[],7,FALSE),""))</f>
        <v/>
      </c>
      <c r="J107" s="3" t="str">
        <f>IF(Table322214812[[#This Row],[Course]]= "","",IFERROR(VLOOKUP(Table322214812[[#This Row],[Course]],COURSELIST[],8,FALSE),""))</f>
        <v/>
      </c>
      <c r="L107" s="184"/>
      <c r="M107" s="17"/>
      <c r="N107" s="3" t="str">
        <f>IF(Table1433445014[[#This Row],[Course]]= "","",IFERROR(VLOOKUP(Table1433445014[[#This Row],[Course]],COURSELIST[],2,FALSE),"Course Not Found!"))</f>
        <v/>
      </c>
      <c r="O107" s="3" t="str">
        <f>IF(Table1433445014[[#This Row],[Course]]= "","",IFERROR(VLOOKUP(Table1433445014[[#This Row],[Course]],COURSELIST[],3,FALSE),""))</f>
        <v/>
      </c>
      <c r="P107" s="3" t="str">
        <f>IF(Table1433445014[[#This Row],[Course]]= "","",IFERROR(VLOOKUP(Table1433445014[[#This Row],[Course]],COURSELIST[],4,FALSE),""))</f>
        <v/>
      </c>
      <c r="R107" s="3" t="str">
        <f>IF(Table1433445014[[#This Row],[Course]]= "","",IFERROR(VLOOKUP(Table1433445014[[#This Row],[Course]],COURSELIST[],6,FALSE),""))</f>
        <v/>
      </c>
      <c r="S107" s="3" t="str">
        <f>IF(Table1433445014[[#This Row],[Course]]= "","",IFERROR(VLOOKUP(Table1433445014[[#This Row],[Course]],COURSELIST[],7,FALSE),""))</f>
        <v/>
      </c>
      <c r="T107" s="5" t="str">
        <f>IF(Table1433445014[[#This Row],[Course]]= "","",IFERROR(VLOOKUP(Table1433445014[[#This Row],[Course]],COURSELIST[],8,FALSE),""))</f>
        <v/>
      </c>
      <c r="V107" s="184"/>
      <c r="W107" s="25"/>
      <c r="X107" s="3" t="str">
        <f>IF(Table928394913[[#This Row],[Course]]= "","",IFERROR(VLOOKUP(Table928394913[[#This Row],[Course]],COURSELIST[],2,FALSE),"Course Not Found!"))</f>
        <v/>
      </c>
      <c r="Y107" s="3" t="str">
        <f>IF(Table928394913[[#This Row],[Course]]= "","",IFERROR(VLOOKUP(Table928394913[[#This Row],[Course]],COURSELIST[],3,FALSE),""))</f>
        <v/>
      </c>
      <c r="Z107" s="3" t="str">
        <f>IF(Table928394913[[#This Row],[Course]]= "","",IFERROR(VLOOKUP(Table928394913[[#This Row],[Course]],COURSELIST[],4,FALSE),""))</f>
        <v/>
      </c>
      <c r="AB107" s="3" t="str">
        <f>IF(Table928394913[[#This Row],[Course]]= "","",IFERROR(VLOOKUP(Table928394913[[#This Row],[Course]],COURSELIST[],6,FALSE),""))</f>
        <v/>
      </c>
      <c r="AC107" s="3" t="str">
        <f>IF(Table928394913[[#This Row],[Course]]= "","",IFERROR(VLOOKUP(Table928394913[[#This Row],[Course]],COURSELIST[],7,FALSE),""))</f>
        <v/>
      </c>
      <c r="AD107" s="3" t="str">
        <f>IF(Table928394913[[#This Row],[Course]]= "","",IFERROR(VLOOKUP(Table928394913[[#This Row],[Course]],COURSELIST[],8,FALSE),""))</f>
        <v/>
      </c>
      <c r="AF107" s="184"/>
      <c r="AG107" s="25"/>
      <c r="AH107" s="3" t="str">
        <f>IF(Table9283949525515[[#This Row],[Course]]= "","",IFERROR(VLOOKUP(Table9283949525515[[#This Row],[Course]],COURSELIST[],2,FALSE),"Course Not Found!"))</f>
        <v/>
      </c>
      <c r="AI107" s="3" t="str">
        <f>IF(Table9283949525515[[#This Row],[Course]]= "","",IFERROR(VLOOKUP(Table9283949525515[[#This Row],[Course]],COURSELIST[],3,FALSE),""))</f>
        <v/>
      </c>
      <c r="AJ107" s="3" t="str">
        <f>IF(Table9283949525515[[#This Row],[Course]]= "","",IFERROR(VLOOKUP(Table9283949525515[[#This Row],[Course]],COURSELIST[],4,FALSE),""))</f>
        <v/>
      </c>
      <c r="AL107" s="3" t="str">
        <f>IF(Table9283949525515[[#This Row],[Course]]= "","",IFERROR(VLOOKUP(Table9283949525515[[#This Row],[Course]],COURSELIST[],6,FALSE),""))</f>
        <v/>
      </c>
      <c r="AM107" s="3" t="str">
        <f>IF(Table9283949525515[[#This Row],[Course]]= "","",IFERROR(VLOOKUP(Table9283949525515[[#This Row],[Course]],COURSELIST[],7,FALSE),""))</f>
        <v/>
      </c>
      <c r="AN107" s="3" t="str">
        <f>IF(Table9283949525515[[#This Row],[Course]]= "","",IFERROR(VLOOKUP(Table9283949525515[[#This Row],[Course]],COURSELIST[],8,FALSE),""))</f>
        <v/>
      </c>
    </row>
    <row r="108" spans="1:40" ht="15.75" hidden="1" outlineLevel="1" thickBot="1">
      <c r="B108" s="184"/>
      <c r="C108" s="25"/>
      <c r="D108" s="3" t="str">
        <f>IF(Table322214812[[#This Row],[Course]]= "","",IFERROR(VLOOKUP(Table322214812[[#This Row],[Course]],COURSELIST[],2,FALSE),"Course Not Found!"))</f>
        <v/>
      </c>
      <c r="E108" s="3" t="str">
        <f>IF(Table322214812[[#This Row],[Course]]= "","",IFERROR(VLOOKUP(Table322214812[[#This Row],[Course]],COURSELIST[],3,FALSE),""))</f>
        <v/>
      </c>
      <c r="F108" s="3" t="str">
        <f>IF(Table322214812[[#This Row],[Course]]= "","",IFERROR(VLOOKUP(Table322214812[[#This Row],[Course]],COURSELIST[],4,FALSE),""))</f>
        <v/>
      </c>
      <c r="H108" s="3" t="str">
        <f>IF(Table322214812[[#This Row],[Course]]= "","",IFERROR(VLOOKUP(Table322214812[[#This Row],[Course]],COURSELIST[],6,FALSE),""))</f>
        <v/>
      </c>
      <c r="I108" s="3" t="str">
        <f>IF(Table322214812[[#This Row],[Course]]= "","",IFERROR(VLOOKUP(Table322214812[[#This Row],[Course]],COURSELIST[],7,FALSE),""))</f>
        <v/>
      </c>
      <c r="J108" s="3" t="str">
        <f>IF(Table322214812[[#This Row],[Course]]= "","",IFERROR(VLOOKUP(Table322214812[[#This Row],[Course]],COURSELIST[],8,FALSE),""))</f>
        <v/>
      </c>
      <c r="L108" s="184"/>
      <c r="M108" s="16"/>
      <c r="N108" s="3" t="str">
        <f>IF(Table1433445014[[#This Row],[Course]]= "","",IFERROR(VLOOKUP(Table1433445014[[#This Row],[Course]],COURSELIST[],2,FALSE),"Course Not Found!"))</f>
        <v/>
      </c>
      <c r="O108" s="3" t="str">
        <f>IF(Table1433445014[[#This Row],[Course]]= "","",IFERROR(VLOOKUP(Table1433445014[[#This Row],[Course]],COURSELIST[],3,FALSE),""))</f>
        <v/>
      </c>
      <c r="P108" s="3" t="str">
        <f>IF(Table1433445014[[#This Row],[Course]]= "","",IFERROR(VLOOKUP(Table1433445014[[#This Row],[Course]],COURSELIST[],4,FALSE),""))</f>
        <v/>
      </c>
      <c r="R108" s="3" t="str">
        <f>IF(Table1433445014[[#This Row],[Course]]= "","",IFERROR(VLOOKUP(Table1433445014[[#This Row],[Course]],COURSELIST[],6,FALSE),""))</f>
        <v/>
      </c>
      <c r="S108" s="3" t="str">
        <f>IF(Table1433445014[[#This Row],[Course]]= "","",IFERROR(VLOOKUP(Table1433445014[[#This Row],[Course]],COURSELIST[],7,FALSE),""))</f>
        <v/>
      </c>
      <c r="T108" s="3" t="str">
        <f>IF(Table1433445014[[#This Row],[Course]]= "","",IFERROR(VLOOKUP(Table1433445014[[#This Row],[Course]],COURSELIST[],8,FALSE),""))</f>
        <v/>
      </c>
      <c r="V108" s="184"/>
      <c r="W108" s="25"/>
      <c r="X108" s="3" t="str">
        <f>IF(Table928394913[[#This Row],[Course]]= "","",IFERROR(VLOOKUP(Table928394913[[#This Row],[Course]],COURSELIST[],2,FALSE),"Course Not Found!"))</f>
        <v/>
      </c>
      <c r="Y108" s="3" t="str">
        <f>IF(Table928394913[[#This Row],[Course]]= "","",IFERROR(VLOOKUP(Table928394913[[#This Row],[Course]],COURSELIST[],3,FALSE),""))</f>
        <v/>
      </c>
      <c r="Z108" s="3" t="str">
        <f>IF(Table928394913[[#This Row],[Course]]= "","",IFERROR(VLOOKUP(Table928394913[[#This Row],[Course]],COURSELIST[],4,FALSE),""))</f>
        <v/>
      </c>
      <c r="AB108" s="3" t="str">
        <f>IF(Table928394913[[#This Row],[Course]]= "","",IFERROR(VLOOKUP(Table928394913[[#This Row],[Course]],COURSELIST[],6,FALSE),""))</f>
        <v/>
      </c>
      <c r="AC108" s="3" t="str">
        <f>IF(Table928394913[[#This Row],[Course]]= "","",IFERROR(VLOOKUP(Table928394913[[#This Row],[Course]],COURSELIST[],7,FALSE),""))</f>
        <v/>
      </c>
      <c r="AD108" s="3" t="str">
        <f>IF(Table928394913[[#This Row],[Course]]= "","",IFERROR(VLOOKUP(Table928394913[[#This Row],[Course]],COURSELIST[],8,FALSE),""))</f>
        <v/>
      </c>
      <c r="AF108" s="184"/>
      <c r="AG108" s="25"/>
      <c r="AH108" s="3" t="str">
        <f>IF(Table9283949525515[[#This Row],[Course]]= "","",IFERROR(VLOOKUP(Table9283949525515[[#This Row],[Course]],COURSELIST[],2,FALSE),"Course Not Found!"))</f>
        <v/>
      </c>
      <c r="AI108" s="3" t="str">
        <f>IF(Table9283949525515[[#This Row],[Course]]= "","",IFERROR(VLOOKUP(Table9283949525515[[#This Row],[Course]],COURSELIST[],3,FALSE),""))</f>
        <v/>
      </c>
      <c r="AJ108" s="3" t="str">
        <f>IF(Table9283949525515[[#This Row],[Course]]= "","",IFERROR(VLOOKUP(Table9283949525515[[#This Row],[Course]],COURSELIST[],4,FALSE),""))</f>
        <v/>
      </c>
      <c r="AL108" s="3" t="str">
        <f>IF(Table9283949525515[[#This Row],[Course]]= "","",IFERROR(VLOOKUP(Table9283949525515[[#This Row],[Course]],COURSELIST[],6,FALSE),""))</f>
        <v/>
      </c>
      <c r="AM108" s="3" t="str">
        <f>IF(Table9283949525515[[#This Row],[Course]]= "","",IFERROR(VLOOKUP(Table9283949525515[[#This Row],[Course]],COURSELIST[],7,FALSE),""))</f>
        <v/>
      </c>
      <c r="AN108" s="3" t="str">
        <f>IF(Table9283949525515[[#This Row],[Course]]= "","",IFERROR(VLOOKUP(Table9283949525515[[#This Row],[Course]],COURSELIST[],8,FALSE),""))</f>
        <v/>
      </c>
    </row>
    <row r="109" spans="1:40" ht="15.75" hidden="1" outlineLevel="1" thickBot="1">
      <c r="B109" s="184"/>
      <c r="C109" s="25"/>
      <c r="D109" s="3" t="str">
        <f>IF(Table322214812[[#This Row],[Course]]= "","",IFERROR(VLOOKUP(Table322214812[[#This Row],[Course]],COURSELIST[],2,FALSE),"Course Not Found!"))</f>
        <v/>
      </c>
      <c r="E109" s="3" t="str">
        <f>IF(Table322214812[[#This Row],[Course]]= "","",IFERROR(VLOOKUP(Table322214812[[#This Row],[Course]],COURSELIST[],3,FALSE),""))</f>
        <v/>
      </c>
      <c r="F109" s="3" t="str">
        <f>IF(Table322214812[[#This Row],[Course]]= "","",IFERROR(VLOOKUP(Table322214812[[#This Row],[Course]],COURSELIST[],4,FALSE),""))</f>
        <v/>
      </c>
      <c r="H109" s="3" t="str">
        <f>IF(Table322214812[[#This Row],[Course]]= "","",IFERROR(VLOOKUP(Table322214812[[#This Row],[Course]],COURSELIST[],6,FALSE),""))</f>
        <v/>
      </c>
      <c r="I109" s="3" t="str">
        <f>IF(Table322214812[[#This Row],[Course]]= "","",IFERROR(VLOOKUP(Table322214812[[#This Row],[Course]],COURSELIST[],7,FALSE),""))</f>
        <v/>
      </c>
      <c r="J109" s="3" t="str">
        <f>IF(Table322214812[[#This Row],[Course]]= "","",IFERROR(VLOOKUP(Table322214812[[#This Row],[Course]],COURSELIST[],8,FALSE),""))</f>
        <v/>
      </c>
      <c r="L109" s="184"/>
      <c r="M109" s="28"/>
      <c r="N109" s="3" t="str">
        <f>IF(Table1433445014[[#This Row],[Course]]= "","",IFERROR(VLOOKUP(Table1433445014[[#This Row],[Course]],COURSELIST[],2,FALSE),"Course Not Found!"))</f>
        <v/>
      </c>
      <c r="O109" s="3" t="str">
        <f>IF(Table1433445014[[#This Row],[Course]]= "","",IFERROR(VLOOKUP(Table1433445014[[#This Row],[Course]],COURSELIST[],3,FALSE),""))</f>
        <v/>
      </c>
      <c r="P109" s="3" t="str">
        <f>IF(Table1433445014[[#This Row],[Course]]= "","",IFERROR(VLOOKUP(Table1433445014[[#This Row],[Course]],COURSELIST[],4,FALSE),""))</f>
        <v/>
      </c>
      <c r="R109" s="3" t="str">
        <f>IF(Table1433445014[[#This Row],[Course]]= "","",IFERROR(VLOOKUP(Table1433445014[[#This Row],[Course]],COURSELIST[],6,FALSE),""))</f>
        <v/>
      </c>
      <c r="S109" s="3" t="str">
        <f>IF(Table1433445014[[#This Row],[Course]]= "","",IFERROR(VLOOKUP(Table1433445014[[#This Row],[Course]],COURSELIST[],7,FALSE),""))</f>
        <v/>
      </c>
      <c r="T109" s="3" t="str">
        <f>IF(Table1433445014[[#This Row],[Course]]= "","",IFERROR(VLOOKUP(Table1433445014[[#This Row],[Course]],COURSELIST[],8,FALSE),""))</f>
        <v/>
      </c>
      <c r="V109" s="184"/>
      <c r="W109" s="28"/>
      <c r="X109" s="3" t="str">
        <f>IF(Table928394913[[#This Row],[Course]]= "","",IFERROR(VLOOKUP(Table928394913[[#This Row],[Course]],COURSELIST[],2,FALSE),"Course Not Found!"))</f>
        <v/>
      </c>
      <c r="Y109" s="3" t="str">
        <f>IF(Table928394913[[#This Row],[Course]]= "","",IFERROR(VLOOKUP(Table928394913[[#This Row],[Course]],COURSELIST[],3,FALSE),""))</f>
        <v/>
      </c>
      <c r="Z109" s="3" t="str">
        <f>IF(Table928394913[[#This Row],[Course]]= "","",IFERROR(VLOOKUP(Table928394913[[#This Row],[Course]],COURSELIST[],4,FALSE),""))</f>
        <v/>
      </c>
      <c r="AB109" s="3" t="str">
        <f>IF(Table928394913[[#This Row],[Course]]= "","",IFERROR(VLOOKUP(Table928394913[[#This Row],[Course]],COURSELIST[],6,FALSE),""))</f>
        <v/>
      </c>
      <c r="AC109" s="3" t="str">
        <f>IF(Table928394913[[#This Row],[Course]]= "","",IFERROR(VLOOKUP(Table928394913[[#This Row],[Course]],COURSELIST[],7,FALSE),""))</f>
        <v/>
      </c>
      <c r="AD109" s="3" t="str">
        <f>IF(Table928394913[[#This Row],[Course]]= "","",IFERROR(VLOOKUP(Table928394913[[#This Row],[Course]],COURSELIST[],8,FALSE),""))</f>
        <v/>
      </c>
      <c r="AF109" s="184"/>
      <c r="AG109" s="28"/>
      <c r="AH109" s="3" t="str">
        <f>IF(Table9283949525515[[#This Row],[Course]]= "","",IFERROR(VLOOKUP(Table9283949525515[[#This Row],[Course]],COURSELIST[],2,FALSE),"Course Not Found!"))</f>
        <v/>
      </c>
      <c r="AI109" s="3" t="str">
        <f>IF(Table9283949525515[[#This Row],[Course]]= "","",IFERROR(VLOOKUP(Table9283949525515[[#This Row],[Course]],COURSELIST[],3,FALSE),""))</f>
        <v/>
      </c>
      <c r="AJ109" s="3" t="str">
        <f>IF(Table9283949525515[[#This Row],[Course]]= "","",IFERROR(VLOOKUP(Table9283949525515[[#This Row],[Course]],COURSELIST[],4,FALSE),""))</f>
        <v/>
      </c>
      <c r="AL109" s="3" t="str">
        <f>IF(Table9283949525515[[#This Row],[Course]]= "","",IFERROR(VLOOKUP(Table9283949525515[[#This Row],[Course]],COURSELIST[],6,FALSE),""))</f>
        <v/>
      </c>
      <c r="AM109" s="3" t="str">
        <f>IF(Table9283949525515[[#This Row],[Course]]= "","",IFERROR(VLOOKUP(Table9283949525515[[#This Row],[Course]],COURSELIST[],7,FALSE),""))</f>
        <v/>
      </c>
      <c r="AN109" s="3" t="str">
        <f>IF(Table9283949525515[[#This Row],[Course]]= "","",IFERROR(VLOOKUP(Table9283949525515[[#This Row],[Course]],COURSELIST[],8,FALSE),""))</f>
        <v/>
      </c>
    </row>
    <row r="110" spans="1:40" hidden="1" outlineLevel="1">
      <c r="C110" s="19"/>
      <c r="E110" s="3" t="s">
        <v>10</v>
      </c>
      <c r="F110" s="3">
        <f>SUM(F103:F109)</f>
        <v>0</v>
      </c>
      <c r="G110" s="4"/>
      <c r="I110" s="3" t="s">
        <v>27</v>
      </c>
      <c r="J110" s="4">
        <f>SUM(J103:J109)</f>
        <v>0</v>
      </c>
      <c r="O110" s="3" t="s">
        <v>10</v>
      </c>
      <c r="P110" s="3">
        <f>SUM(P103:P109)</f>
        <v>0</v>
      </c>
      <c r="S110" s="3" t="s">
        <v>27</v>
      </c>
      <c r="T110" s="3">
        <f>SUM(T103:T109)</f>
        <v>0</v>
      </c>
      <c r="Y110" s="3" t="s">
        <v>10</v>
      </c>
      <c r="Z110" s="3">
        <f>SUM(Z103:Z109)</f>
        <v>0</v>
      </c>
      <c r="AC110" s="3" t="s">
        <v>27</v>
      </c>
      <c r="AD110" s="3">
        <f>SUM(AD103:AD109)</f>
        <v>0</v>
      </c>
      <c r="AI110" s="3" t="s">
        <v>10</v>
      </c>
      <c r="AJ110" s="3">
        <f>SUM(AJ103:AJ109)</f>
        <v>0</v>
      </c>
      <c r="AM110" s="3" t="s">
        <v>27</v>
      </c>
      <c r="AN110" s="3">
        <f>SUM(AN103:AN109)</f>
        <v>0</v>
      </c>
    </row>
    <row r="111" spans="1:40" hidden="1" outlineLevel="1">
      <c r="C111" s="19"/>
      <c r="E111" s="3" t="s">
        <v>18</v>
      </c>
      <c r="F111" s="3">
        <f>F110+AJ97</f>
        <v>167</v>
      </c>
      <c r="G111" s="4"/>
      <c r="I111" s="3" t="s">
        <v>17</v>
      </c>
      <c r="J111" s="4">
        <f>J110+AN97</f>
        <v>238.58</v>
      </c>
      <c r="O111" s="3" t="s">
        <v>18</v>
      </c>
      <c r="P111" s="3">
        <f>P110+F111</f>
        <v>167</v>
      </c>
      <c r="S111" s="3" t="s">
        <v>17</v>
      </c>
      <c r="T111" s="3">
        <f>T110+J111</f>
        <v>238.58</v>
      </c>
      <c r="Y111" s="3" t="s">
        <v>18</v>
      </c>
      <c r="Z111" s="3">
        <f>Z110+P111</f>
        <v>167</v>
      </c>
      <c r="AC111" s="3" t="s">
        <v>17</v>
      </c>
      <c r="AD111" s="3">
        <f>AD110+T111</f>
        <v>238.58</v>
      </c>
      <c r="AI111" s="3" t="s">
        <v>18</v>
      </c>
      <c r="AJ111" s="3">
        <f>AJ110+Z111</f>
        <v>167</v>
      </c>
      <c r="AM111" s="3" t="s">
        <v>17</v>
      </c>
      <c r="AN111" s="3">
        <f>AN110+AD111</f>
        <v>238.58</v>
      </c>
    </row>
    <row r="112" spans="1:40" hidden="1" outlineLevel="1">
      <c r="C112" s="19"/>
      <c r="E112" s="5" t="s">
        <v>19</v>
      </c>
      <c r="F112" s="5">
        <f>F110+AJ98</f>
        <v>153</v>
      </c>
      <c r="G112" s="24"/>
      <c r="I112" s="3" t="s">
        <v>14</v>
      </c>
      <c r="J112" s="4" t="e">
        <f>J110/F110</f>
        <v>#DIV/0!</v>
      </c>
      <c r="O112" s="5" t="s">
        <v>19</v>
      </c>
      <c r="P112" s="5">
        <f>P110+F112</f>
        <v>153</v>
      </c>
      <c r="Q112" s="5"/>
      <c r="S112" s="3" t="s">
        <v>14</v>
      </c>
      <c r="T112" s="3" t="e">
        <f>T110/P110</f>
        <v>#DIV/0!</v>
      </c>
      <c r="W112" s="5"/>
      <c r="X112" s="5"/>
      <c r="Y112" s="5" t="s">
        <v>19</v>
      </c>
      <c r="Z112" s="5">
        <f>Z110+P112</f>
        <v>153</v>
      </c>
      <c r="AA112" s="5"/>
      <c r="AC112" s="3" t="s">
        <v>14</v>
      </c>
      <c r="AD112" s="3" t="e">
        <f>AD110/Z110</f>
        <v>#DIV/0!</v>
      </c>
      <c r="AG112" s="5"/>
      <c r="AH112" s="5"/>
      <c r="AI112" s="5" t="s">
        <v>19</v>
      </c>
      <c r="AJ112" s="5">
        <f>AJ110+Z112</f>
        <v>153</v>
      </c>
      <c r="AK112" s="5"/>
      <c r="AM112" s="3" t="s">
        <v>14</v>
      </c>
      <c r="AN112" s="3" t="e">
        <f>AN110/AJ110</f>
        <v>#DIV/0!</v>
      </c>
    </row>
    <row r="113" spans="3:40" ht="21" hidden="1" outlineLevel="1">
      <c r="C113" s="19"/>
      <c r="G113" s="4"/>
      <c r="H113" s="23"/>
      <c r="I113" s="5" t="s">
        <v>16</v>
      </c>
      <c r="J113" s="24">
        <f>J111/F112</f>
        <v>1.5593464052287582</v>
      </c>
      <c r="M113" s="5"/>
      <c r="N113" s="5"/>
      <c r="S113" s="5" t="s">
        <v>16</v>
      </c>
      <c r="T113" s="5">
        <f>T111/P112</f>
        <v>1.5593464052287582</v>
      </c>
      <c r="AC113" s="5" t="s">
        <v>16</v>
      </c>
      <c r="AD113" s="5">
        <f>AD111/Z112</f>
        <v>1.5593464052287582</v>
      </c>
      <c r="AM113" s="5" t="s">
        <v>16</v>
      </c>
      <c r="AN113" s="5">
        <f>AN111/AJ112</f>
        <v>1.5593464052287582</v>
      </c>
    </row>
    <row r="114" spans="3:40" collapsed="1"/>
  </sheetData>
  <dataConsolidate link="1"/>
  <mergeCells count="99">
    <mergeCell ref="AJ45:AN45"/>
    <mergeCell ref="Z59:AD59"/>
    <mergeCell ref="AJ59:AN59"/>
    <mergeCell ref="F59:J59"/>
    <mergeCell ref="F45:J45"/>
    <mergeCell ref="P45:T45"/>
    <mergeCell ref="P59:T59"/>
    <mergeCell ref="W59:Y59"/>
    <mergeCell ref="AF45:AF53"/>
    <mergeCell ref="Z45:AD45"/>
    <mergeCell ref="AG45:AI45"/>
    <mergeCell ref="AG59:AI59"/>
    <mergeCell ref="AF59:AF67"/>
    <mergeCell ref="M45:O45"/>
    <mergeCell ref="M59:O59"/>
    <mergeCell ref="AJ2:AN2"/>
    <mergeCell ref="Z2:AD2"/>
    <mergeCell ref="Z17:AD17"/>
    <mergeCell ref="AJ17:AN17"/>
    <mergeCell ref="AJ31:AN31"/>
    <mergeCell ref="Z31:AD31"/>
    <mergeCell ref="AF31:AF39"/>
    <mergeCell ref="AG31:AI31"/>
    <mergeCell ref="AF1:AG1"/>
    <mergeCell ref="B2:B10"/>
    <mergeCell ref="B17:B25"/>
    <mergeCell ref="L2:L10"/>
    <mergeCell ref="L17:L25"/>
    <mergeCell ref="F17:J17"/>
    <mergeCell ref="F2:J2"/>
    <mergeCell ref="P17:T17"/>
    <mergeCell ref="P2:T2"/>
    <mergeCell ref="AF2:AF10"/>
    <mergeCell ref="AF17:AF25"/>
    <mergeCell ref="AG2:AI2"/>
    <mergeCell ref="AG17:AI17"/>
    <mergeCell ref="M2:O2"/>
    <mergeCell ref="B31:B39"/>
    <mergeCell ref="B45:B53"/>
    <mergeCell ref="B59:B67"/>
    <mergeCell ref="L1:M1"/>
    <mergeCell ref="V1:W1"/>
    <mergeCell ref="F31:J31"/>
    <mergeCell ref="P31:T31"/>
    <mergeCell ref="V59:V67"/>
    <mergeCell ref="V45:V53"/>
    <mergeCell ref="V31:V39"/>
    <mergeCell ref="V2:V10"/>
    <mergeCell ref="W45:Y45"/>
    <mergeCell ref="W31:Y31"/>
    <mergeCell ref="W17:Y17"/>
    <mergeCell ref="W2:Y2"/>
    <mergeCell ref="V17:V25"/>
    <mergeCell ref="M31:O31"/>
    <mergeCell ref="M17:O17"/>
    <mergeCell ref="L31:L39"/>
    <mergeCell ref="L45:L53"/>
    <mergeCell ref="L59:L67"/>
    <mergeCell ref="C59:E59"/>
    <mergeCell ref="C45:E45"/>
    <mergeCell ref="C31:E31"/>
    <mergeCell ref="C17:E17"/>
    <mergeCell ref="C2:E2"/>
    <mergeCell ref="W73:Y73"/>
    <mergeCell ref="Z73:AD73"/>
    <mergeCell ref="AF73:AF81"/>
    <mergeCell ref="B73:B81"/>
    <mergeCell ref="C73:E73"/>
    <mergeCell ref="F73:J73"/>
    <mergeCell ref="L73:L81"/>
    <mergeCell ref="M73:O73"/>
    <mergeCell ref="AG73:AI73"/>
    <mergeCell ref="AJ73:AN73"/>
    <mergeCell ref="B87:B95"/>
    <mergeCell ref="C87:E87"/>
    <mergeCell ref="F87:J87"/>
    <mergeCell ref="L87:L95"/>
    <mergeCell ref="M87:O87"/>
    <mergeCell ref="P87:T87"/>
    <mergeCell ref="V87:V95"/>
    <mergeCell ref="W87:Y87"/>
    <mergeCell ref="Z87:AD87"/>
    <mergeCell ref="AF87:AF95"/>
    <mergeCell ref="AG87:AI87"/>
    <mergeCell ref="AJ87:AN87"/>
    <mergeCell ref="P73:T73"/>
    <mergeCell ref="V73:V81"/>
    <mergeCell ref="B101:B109"/>
    <mergeCell ref="C101:E101"/>
    <mergeCell ref="F101:J101"/>
    <mergeCell ref="L101:L109"/>
    <mergeCell ref="M101:O101"/>
    <mergeCell ref="AG101:AI101"/>
    <mergeCell ref="AJ101:AN101"/>
    <mergeCell ref="P101:T101"/>
    <mergeCell ref="V101:V109"/>
    <mergeCell ref="W101:Y101"/>
    <mergeCell ref="Z101:AD101"/>
    <mergeCell ref="AF101:AF109"/>
  </mergeCells>
  <conditionalFormatting sqref="H44 H30 G129:G1048576 R48:R51 I11:I13 AB10 AB19:AB25">
    <cfRule type="cellIs" dxfId="387" priority="607" operator="equal">
      <formula>"N"</formula>
    </cfRule>
    <cfRule type="cellIs" dxfId="386" priority="608" operator="equal">
      <formula>"Y"</formula>
    </cfRule>
  </conditionalFormatting>
  <conditionalFormatting sqref="AB4:AB10">
    <cfRule type="cellIs" dxfId="385" priority="605" operator="equal">
      <formula>"N"</formula>
    </cfRule>
    <cfRule type="cellIs" dxfId="384" priority="606" operator="equal">
      <formula>"Y"</formula>
    </cfRule>
  </conditionalFormatting>
  <conditionalFormatting sqref="AC11:AC13">
    <cfRule type="cellIs" dxfId="383" priority="603" operator="equal">
      <formula>"N"</formula>
    </cfRule>
    <cfRule type="cellIs" dxfId="382" priority="604" operator="equal">
      <formula>"Y"</formula>
    </cfRule>
  </conditionalFormatting>
  <conditionalFormatting sqref="S26:S28">
    <cfRule type="cellIs" dxfId="381" priority="597" operator="equal">
      <formula>"N"</formula>
    </cfRule>
    <cfRule type="cellIs" dxfId="380" priority="598" operator="equal">
      <formula>"Y"</formula>
    </cfRule>
  </conditionalFormatting>
  <conditionalFormatting sqref="S11:S13">
    <cfRule type="cellIs" dxfId="379" priority="601" operator="equal">
      <formula>"N"</formula>
    </cfRule>
    <cfRule type="cellIs" dxfId="378" priority="602" operator="equal">
      <formula>"Y"</formula>
    </cfRule>
  </conditionalFormatting>
  <conditionalFormatting sqref="I26:I28">
    <cfRule type="cellIs" dxfId="377" priority="599" operator="equal">
      <formula>"N"</formula>
    </cfRule>
    <cfRule type="cellIs" dxfId="376" priority="600" operator="equal">
      <formula>"Y"</formula>
    </cfRule>
  </conditionalFormatting>
  <conditionalFormatting sqref="AC26:AC28">
    <cfRule type="cellIs" dxfId="375" priority="595" operator="equal">
      <formula>"N"</formula>
    </cfRule>
    <cfRule type="cellIs" dxfId="374" priority="596" operator="equal">
      <formula>"Y"</formula>
    </cfRule>
  </conditionalFormatting>
  <conditionalFormatting sqref="I40:I42">
    <cfRule type="cellIs" dxfId="373" priority="593" operator="equal">
      <formula>"N"</formula>
    </cfRule>
    <cfRule type="cellIs" dxfId="372" priority="594" operator="equal">
      <formula>"Y"</formula>
    </cfRule>
  </conditionalFormatting>
  <conditionalFormatting sqref="S54:S56">
    <cfRule type="cellIs" dxfId="371" priority="589" operator="equal">
      <formula>"N"</formula>
    </cfRule>
    <cfRule type="cellIs" dxfId="370" priority="590" operator="equal">
      <formula>"Y"</formula>
    </cfRule>
  </conditionalFormatting>
  <conditionalFormatting sqref="H18">
    <cfRule type="cellIs" dxfId="369" priority="575" operator="equal">
      <formula>"N"</formula>
    </cfRule>
    <cfRule type="cellIs" dxfId="368" priority="576" operator="equal">
      <formula>"Y"</formula>
    </cfRule>
  </conditionalFormatting>
  <conditionalFormatting sqref="AC54:AC56">
    <cfRule type="cellIs" dxfId="367" priority="587" operator="equal">
      <formula>"N"</formula>
    </cfRule>
    <cfRule type="cellIs" dxfId="366" priority="588" operator="equal">
      <formula>"Y"</formula>
    </cfRule>
  </conditionalFormatting>
  <conditionalFormatting sqref="S40:S42">
    <cfRule type="cellIs" dxfId="365" priority="585" operator="equal">
      <formula>"N"</formula>
    </cfRule>
    <cfRule type="cellIs" dxfId="364" priority="586" operator="equal">
      <formula>"Y"</formula>
    </cfRule>
  </conditionalFormatting>
  <conditionalFormatting sqref="AC40:AC42">
    <cfRule type="cellIs" dxfId="363" priority="583" operator="equal">
      <formula>"N"</formula>
    </cfRule>
    <cfRule type="cellIs" dxfId="362" priority="584" operator="equal">
      <formula>"Y"</formula>
    </cfRule>
  </conditionalFormatting>
  <conditionalFormatting sqref="K31:K33">
    <cfRule type="expression" dxfId="361" priority="609">
      <formula>#REF!="y"</formula>
    </cfRule>
    <cfRule type="expression" dxfId="360" priority="610">
      <formula>#REF!="Spring 2016"</formula>
    </cfRule>
    <cfRule type="expression" dxfId="359" priority="611">
      <formula>#REF!="Spring 2015"</formula>
    </cfRule>
    <cfRule type="expression" dxfId="358" priority="612">
      <formula>#REF!="Fall 2016"</formula>
    </cfRule>
    <cfRule type="expression" dxfId="357" priority="613">
      <formula>#REF!="Spring 2014"</formula>
    </cfRule>
    <cfRule type="expression" dxfId="356" priority="614">
      <formula>#REF!="Fall 2015"</formula>
    </cfRule>
    <cfRule type="expression" dxfId="355" priority="615">
      <formula>#REF!="Fall 2014"</formula>
    </cfRule>
    <cfRule type="expression" dxfId="354" priority="616">
      <formula>#REF!="Fall 2013"</formula>
    </cfRule>
  </conditionalFormatting>
  <conditionalFormatting sqref="H3">
    <cfRule type="cellIs" dxfId="353" priority="581" operator="equal">
      <formula>"N"</formula>
    </cfRule>
    <cfRule type="cellIs" dxfId="352" priority="582" operator="equal">
      <formula>"Y"</formula>
    </cfRule>
  </conditionalFormatting>
  <conditionalFormatting sqref="R3">
    <cfRule type="cellIs" dxfId="351" priority="579" operator="equal">
      <formula>"N"</formula>
    </cfRule>
    <cfRule type="cellIs" dxfId="350" priority="580" operator="equal">
      <formula>"Y"</formula>
    </cfRule>
  </conditionalFormatting>
  <conditionalFormatting sqref="H32">
    <cfRule type="cellIs" dxfId="349" priority="569" operator="equal">
      <formula>"N"</formula>
    </cfRule>
    <cfRule type="cellIs" dxfId="348" priority="570" operator="equal">
      <formula>"Y"</formula>
    </cfRule>
  </conditionalFormatting>
  <conditionalFormatting sqref="R18">
    <cfRule type="cellIs" dxfId="347" priority="573" operator="equal">
      <formula>"N"</formula>
    </cfRule>
    <cfRule type="cellIs" dxfId="346" priority="574" operator="equal">
      <formula>"Y"</formula>
    </cfRule>
  </conditionalFormatting>
  <conditionalFormatting sqref="K28:K29">
    <cfRule type="expression" dxfId="345" priority="633">
      <formula>#REF!="y"</formula>
    </cfRule>
    <cfRule type="expression" dxfId="344" priority="634">
      <formula>#REF!="Spring 2016"</formula>
    </cfRule>
    <cfRule type="expression" dxfId="343" priority="635">
      <formula>#REF!="Spring 2015"</formula>
    </cfRule>
    <cfRule type="expression" dxfId="342" priority="636">
      <formula>#REF!="Fall 2016"</formula>
    </cfRule>
    <cfRule type="expression" dxfId="341" priority="637">
      <formula>#REF!="Spring 2014"</formula>
    </cfRule>
    <cfRule type="expression" dxfId="340" priority="638">
      <formula>#REF!="Fall 2015"</formula>
    </cfRule>
    <cfRule type="expression" dxfId="339" priority="639">
      <formula>#REF!="Fall 2014"</formula>
    </cfRule>
    <cfRule type="expression" dxfId="338" priority="640">
      <formula>#REF!="Fall 2013"</formula>
    </cfRule>
  </conditionalFormatting>
  <conditionalFormatting sqref="C38">
    <cfRule type="expression" dxfId="337" priority="641">
      <formula>#REF!="y"</formula>
    </cfRule>
    <cfRule type="expression" dxfId="336" priority="642">
      <formula>#REF!="Spring 2016"</formula>
    </cfRule>
    <cfRule type="expression" dxfId="335" priority="643">
      <formula>#REF!="Spring 2015"</formula>
    </cfRule>
    <cfRule type="expression" dxfId="334" priority="644">
      <formula>#REF!="Fall 2016"</formula>
    </cfRule>
    <cfRule type="expression" dxfId="333" priority="645">
      <formula>#REF!="Spring 2014"</formula>
    </cfRule>
    <cfRule type="expression" dxfId="332" priority="646">
      <formula>#REF!="Fall 2015"</formula>
    </cfRule>
    <cfRule type="expression" dxfId="331" priority="647">
      <formula>#REF!="Fall 2014"</formula>
    </cfRule>
    <cfRule type="expression" dxfId="330" priority="648">
      <formula>#REF!="Fall 2013"</formula>
    </cfRule>
  </conditionalFormatting>
  <conditionalFormatting sqref="AB3">
    <cfRule type="cellIs" dxfId="329" priority="577" operator="equal">
      <formula>"N"</formula>
    </cfRule>
    <cfRule type="cellIs" dxfId="328" priority="578" operator="equal">
      <formula>"Y"</formula>
    </cfRule>
  </conditionalFormatting>
  <conditionalFormatting sqref="R32">
    <cfRule type="cellIs" dxfId="327" priority="571" operator="equal">
      <formula>"N"</formula>
    </cfRule>
    <cfRule type="cellIs" dxfId="326" priority="572" operator="equal">
      <formula>"Y"</formula>
    </cfRule>
  </conditionalFormatting>
  <conditionalFormatting sqref="H46">
    <cfRule type="cellIs" dxfId="325" priority="567" operator="equal">
      <formula>"N"</formula>
    </cfRule>
    <cfRule type="cellIs" dxfId="324" priority="568" operator="equal">
      <formula>"Y"</formula>
    </cfRule>
  </conditionalFormatting>
  <conditionalFormatting sqref="R46">
    <cfRule type="cellIs" dxfId="323" priority="565" operator="equal">
      <formula>"N"</formula>
    </cfRule>
    <cfRule type="cellIs" dxfId="322" priority="566" operator="equal">
      <formula>"Y"</formula>
    </cfRule>
  </conditionalFormatting>
  <conditionalFormatting sqref="AB46">
    <cfRule type="cellIs" dxfId="321" priority="563" operator="equal">
      <formula>"N"</formula>
    </cfRule>
    <cfRule type="cellIs" dxfId="320" priority="564" operator="equal">
      <formula>"Y"</formula>
    </cfRule>
  </conditionalFormatting>
  <conditionalFormatting sqref="AB32">
    <cfRule type="cellIs" dxfId="319" priority="561" operator="equal">
      <formula>"N"</formula>
    </cfRule>
    <cfRule type="cellIs" dxfId="318" priority="562" operator="equal">
      <formula>"Y"</formula>
    </cfRule>
  </conditionalFormatting>
  <conditionalFormatting sqref="AB18">
    <cfRule type="cellIs" dxfId="317" priority="559" operator="equal">
      <formula>"N"</formula>
    </cfRule>
    <cfRule type="cellIs" dxfId="316" priority="560" operator="equal">
      <formula>"Y"</formula>
    </cfRule>
  </conditionalFormatting>
  <conditionalFormatting sqref="R62:R65">
    <cfRule type="cellIs" dxfId="315" priority="461" operator="equal">
      <formula>"N"</formula>
    </cfRule>
    <cfRule type="cellIs" dxfId="314" priority="462" operator="equal">
      <formula>"Y"</formula>
    </cfRule>
  </conditionalFormatting>
  <conditionalFormatting sqref="S68:S70">
    <cfRule type="cellIs" dxfId="313" priority="457" operator="equal">
      <formula>"N"</formula>
    </cfRule>
    <cfRule type="cellIs" dxfId="312" priority="458" operator="equal">
      <formula>"Y"</formula>
    </cfRule>
  </conditionalFormatting>
  <conditionalFormatting sqref="AB60">
    <cfRule type="cellIs" dxfId="311" priority="449" operator="equal">
      <formula>"N"</formula>
    </cfRule>
    <cfRule type="cellIs" dxfId="310" priority="450" operator="equal">
      <formula>"Y"</formula>
    </cfRule>
  </conditionalFormatting>
  <conditionalFormatting sqref="AC68:AC70">
    <cfRule type="cellIs" dxfId="309" priority="455" operator="equal">
      <formula>"N"</formula>
    </cfRule>
    <cfRule type="cellIs" dxfId="308" priority="456" operator="equal">
      <formula>"Y"</formula>
    </cfRule>
  </conditionalFormatting>
  <conditionalFormatting sqref="C67">
    <cfRule type="expression" dxfId="307" priority="463">
      <formula>#REF!="y"</formula>
    </cfRule>
    <cfRule type="expression" dxfId="306" priority="464">
      <formula>#REF!="Spring 2016"</formula>
    </cfRule>
    <cfRule type="expression" dxfId="305" priority="465">
      <formula>#REF!="Spring 2015"</formula>
    </cfRule>
    <cfRule type="expression" dxfId="304" priority="466">
      <formula>#REF!="Fall 2016"</formula>
    </cfRule>
    <cfRule type="expression" dxfId="303" priority="467">
      <formula>#REF!="Spring 2014"</formula>
    </cfRule>
    <cfRule type="expression" dxfId="302" priority="468">
      <formula>#REF!="Fall 2015"</formula>
    </cfRule>
    <cfRule type="expression" dxfId="301" priority="469">
      <formula>#REF!="Fall 2014"</formula>
    </cfRule>
    <cfRule type="expression" dxfId="300" priority="470">
      <formula>#REF!="Fall 2013"</formula>
    </cfRule>
  </conditionalFormatting>
  <conditionalFormatting sqref="H60">
    <cfRule type="cellIs" dxfId="299" priority="453" operator="equal">
      <formula>"N"</formula>
    </cfRule>
    <cfRule type="cellIs" dxfId="298" priority="454" operator="equal">
      <formula>"Y"</formula>
    </cfRule>
  </conditionalFormatting>
  <conditionalFormatting sqref="R60">
    <cfRule type="cellIs" dxfId="297" priority="451" operator="equal">
      <formula>"N"</formula>
    </cfRule>
    <cfRule type="cellIs" dxfId="296" priority="452" operator="equal">
      <formula>"Y"</formula>
    </cfRule>
  </conditionalFormatting>
  <conditionalFormatting sqref="AM54:AM56">
    <cfRule type="cellIs" dxfId="295" priority="399" operator="equal">
      <formula>"N"</formula>
    </cfRule>
    <cfRule type="cellIs" dxfId="294" priority="400" operator="equal">
      <formula>"Y"</formula>
    </cfRule>
  </conditionalFormatting>
  <conditionalFormatting sqref="AL46">
    <cfRule type="cellIs" dxfId="293" priority="397" operator="equal">
      <formula>"N"</formula>
    </cfRule>
    <cfRule type="cellIs" dxfId="292" priority="398" operator="equal">
      <formula>"Y"</formula>
    </cfRule>
  </conditionalFormatting>
  <conditionalFormatting sqref="AM40:AM42">
    <cfRule type="cellIs" dxfId="291" priority="363" operator="equal">
      <formula>"N"</formula>
    </cfRule>
    <cfRule type="cellIs" dxfId="290" priority="364" operator="equal">
      <formula>"Y"</formula>
    </cfRule>
  </conditionalFormatting>
  <conditionalFormatting sqref="AL32">
    <cfRule type="cellIs" dxfId="289" priority="361" operator="equal">
      <formula>"N"</formula>
    </cfRule>
    <cfRule type="cellIs" dxfId="288" priority="362" operator="equal">
      <formula>"Y"</formula>
    </cfRule>
  </conditionalFormatting>
  <conditionalFormatting sqref="AM26:AM28">
    <cfRule type="cellIs" dxfId="287" priority="327" operator="equal">
      <formula>"N"</formula>
    </cfRule>
    <cfRule type="cellIs" dxfId="286" priority="328" operator="equal">
      <formula>"Y"</formula>
    </cfRule>
  </conditionalFormatting>
  <conditionalFormatting sqref="AL18">
    <cfRule type="cellIs" dxfId="285" priority="325" operator="equal">
      <formula>"N"</formula>
    </cfRule>
    <cfRule type="cellIs" dxfId="284" priority="326" operator="equal">
      <formula>"Y"</formula>
    </cfRule>
  </conditionalFormatting>
  <conditionalFormatting sqref="AM68:AM70">
    <cfRule type="cellIs" dxfId="283" priority="291" operator="equal">
      <formula>"N"</formula>
    </cfRule>
    <cfRule type="cellIs" dxfId="282" priority="292" operator="equal">
      <formula>"Y"</formula>
    </cfRule>
  </conditionalFormatting>
  <conditionalFormatting sqref="AL60">
    <cfRule type="cellIs" dxfId="281" priority="289" operator="equal">
      <formula>"N"</formula>
    </cfRule>
    <cfRule type="cellIs" dxfId="280" priority="290" operator="equal">
      <formula>"Y"</formula>
    </cfRule>
  </conditionalFormatting>
  <conditionalFormatting sqref="H58">
    <cfRule type="cellIs" dxfId="279" priority="255" operator="equal">
      <formula>"N"</formula>
    </cfRule>
    <cfRule type="cellIs" dxfId="278" priority="256" operator="equal">
      <formula>"Y"</formula>
    </cfRule>
  </conditionalFormatting>
  <conditionalFormatting sqref="I54:I56">
    <cfRule type="cellIs" dxfId="277" priority="251" operator="equal">
      <formula>"N"</formula>
    </cfRule>
    <cfRule type="cellIs" dxfId="276" priority="252" operator="equal">
      <formula>"Y"</formula>
    </cfRule>
  </conditionalFormatting>
  <conditionalFormatting sqref="I68:I70">
    <cfRule type="cellIs" dxfId="275" priority="249" operator="equal">
      <formula>"N"</formula>
    </cfRule>
    <cfRule type="cellIs" dxfId="274" priority="250" operator="equal">
      <formula>"Y"</formula>
    </cfRule>
  </conditionalFormatting>
  <conditionalFormatting sqref="AM11:AM13">
    <cfRule type="cellIs" dxfId="273" priority="207" operator="equal">
      <formula>"N"</formula>
    </cfRule>
    <cfRule type="cellIs" dxfId="272" priority="208" operator="equal">
      <formula>"Y"</formula>
    </cfRule>
  </conditionalFormatting>
  <conditionalFormatting sqref="AL3">
    <cfRule type="cellIs" dxfId="271" priority="205" operator="equal">
      <formula>"N"</formula>
    </cfRule>
    <cfRule type="cellIs" dxfId="270" priority="206" operator="equal">
      <formula>"Y"</formula>
    </cfRule>
  </conditionalFormatting>
  <conditionalFormatting sqref="K30">
    <cfRule type="expression" dxfId="269" priority="770">
      <formula>$I35="y"</formula>
    </cfRule>
    <cfRule type="expression" dxfId="268" priority="771">
      <formula>$G35="Spring 2016"</formula>
    </cfRule>
    <cfRule type="expression" dxfId="267" priority="772">
      <formula>$G35="Spring 2015"</formula>
    </cfRule>
    <cfRule type="expression" dxfId="266" priority="773">
      <formula>$G35="Fall 2016"</formula>
    </cfRule>
    <cfRule type="expression" dxfId="265" priority="774">
      <formula>$G35="Spring 2014"</formula>
    </cfRule>
    <cfRule type="expression" dxfId="264" priority="775">
      <formula>$G35="Fall 2015"</formula>
    </cfRule>
    <cfRule type="expression" dxfId="263" priority="776">
      <formula>$G35="Fall 2014"</formula>
    </cfRule>
    <cfRule type="expression" dxfId="262" priority="777">
      <formula>$G35="Fall 2013"</formula>
    </cfRule>
  </conditionalFormatting>
  <conditionalFormatting sqref="K27">
    <cfRule type="expression" dxfId="261" priority="778">
      <formula>$I31="y"</formula>
    </cfRule>
    <cfRule type="expression" dxfId="260" priority="779">
      <formula>$G31="Spring 2016"</formula>
    </cfRule>
    <cfRule type="expression" dxfId="259" priority="780">
      <formula>$G31="Spring 2015"</formula>
    </cfRule>
    <cfRule type="expression" dxfId="258" priority="781">
      <formula>$G31="Fall 2016"</formula>
    </cfRule>
    <cfRule type="expression" dxfId="257" priority="782">
      <formula>$G31="Spring 2014"</formula>
    </cfRule>
    <cfRule type="expression" dxfId="256" priority="783">
      <formula>$G31="Fall 2015"</formula>
    </cfRule>
    <cfRule type="expression" dxfId="255" priority="784">
      <formula>$G31="Fall 2014"</formula>
    </cfRule>
    <cfRule type="expression" dxfId="254" priority="785">
      <formula>$G31="Fall 2013"</formula>
    </cfRule>
  </conditionalFormatting>
  <conditionalFormatting sqref="K34:K35">
    <cfRule type="expression" dxfId="253" priority="786">
      <formula>$J40="y"</formula>
    </cfRule>
    <cfRule type="expression" dxfId="252" priority="787">
      <formula>$G40="Spring 2016"</formula>
    </cfRule>
    <cfRule type="expression" dxfId="251" priority="788">
      <formula>$G40="Spring 2015"</formula>
    </cfRule>
    <cfRule type="expression" dxfId="250" priority="789">
      <formula>$G40="Fall 2016"</formula>
    </cfRule>
    <cfRule type="expression" dxfId="249" priority="790">
      <formula>$G40="Spring 2014"</formula>
    </cfRule>
    <cfRule type="expression" dxfId="248" priority="791">
      <formula>$G40="Fall 2015"</formula>
    </cfRule>
    <cfRule type="expression" dxfId="247" priority="792">
      <formula>$G40="Fall 2014"</formula>
    </cfRule>
    <cfRule type="expression" dxfId="246" priority="793">
      <formula>$G40="Fall 2013"</formula>
    </cfRule>
  </conditionalFormatting>
  <conditionalFormatting sqref="K36">
    <cfRule type="expression" dxfId="245" priority="794">
      <formula>$J43="y"</formula>
    </cfRule>
    <cfRule type="expression" dxfId="244" priority="795">
      <formula>$G43="Spring 2016"</formula>
    </cfRule>
    <cfRule type="expression" dxfId="243" priority="796">
      <formula>$G43="Spring 2015"</formula>
    </cfRule>
    <cfRule type="expression" dxfId="242" priority="797">
      <formula>$G43="Fall 2016"</formula>
    </cfRule>
    <cfRule type="expression" dxfId="241" priority="798">
      <formula>$G43="Spring 2014"</formula>
    </cfRule>
    <cfRule type="expression" dxfId="240" priority="799">
      <formula>$G43="Fall 2015"</formula>
    </cfRule>
    <cfRule type="expression" dxfId="239" priority="800">
      <formula>$G43="Fall 2014"</formula>
    </cfRule>
    <cfRule type="expression" dxfId="238" priority="801">
      <formula>$G43="Fall 2013"</formula>
    </cfRule>
  </conditionalFormatting>
  <conditionalFormatting sqref="W61 W63:W65 AG47 AG49:AG51 AG22:AG23 AG61 AG63:AG65 AG7:AG8">
    <cfRule type="expression" dxfId="237" priority="802">
      <formula>$I7="y"</formula>
    </cfRule>
    <cfRule type="expression" dxfId="236" priority="803">
      <formula>$G7="Spring 2016"</formula>
    </cfRule>
    <cfRule type="expression" dxfId="235" priority="804">
      <formula>$G7="Spring 2015"</formula>
    </cfRule>
    <cfRule type="expression" dxfId="234" priority="805">
      <formula>$G7="Fall 2016"</formula>
    </cfRule>
    <cfRule type="expression" dxfId="233" priority="806">
      <formula>$G7="Spring 2014"</formula>
    </cfRule>
    <cfRule type="expression" dxfId="232" priority="807">
      <formula>$G7="Fall 2015"</formula>
    </cfRule>
    <cfRule type="expression" dxfId="231" priority="808">
      <formula>$G7="Fall 2014"</formula>
    </cfRule>
    <cfRule type="expression" dxfId="230" priority="809">
      <formula>$G7="Fall 2013"</formula>
    </cfRule>
  </conditionalFormatting>
  <conditionalFormatting sqref="W22">
    <cfRule type="expression" dxfId="229" priority="818">
      <formula>$I38="y"</formula>
    </cfRule>
    <cfRule type="expression" dxfId="228" priority="819">
      <formula>$G38="Spring 2016"</formula>
    </cfRule>
    <cfRule type="expression" dxfId="227" priority="820">
      <formula>$G38="Spring 2015"</formula>
    </cfRule>
    <cfRule type="expression" dxfId="226" priority="821">
      <formula>$G38="Fall 2016"</formula>
    </cfRule>
    <cfRule type="expression" dxfId="225" priority="822">
      <formula>$G38="Spring 2014"</formula>
    </cfRule>
    <cfRule type="expression" dxfId="224" priority="823">
      <formula>$G38="Fall 2015"</formula>
    </cfRule>
    <cfRule type="expression" dxfId="223" priority="824">
      <formula>$G38="Fall 2014"</formula>
    </cfRule>
    <cfRule type="expression" dxfId="222" priority="825">
      <formula>$G38="Fall 2013"</formula>
    </cfRule>
  </conditionalFormatting>
  <conditionalFormatting sqref="W5">
    <cfRule type="expression" dxfId="221" priority="842">
      <formula>$I49="y"</formula>
    </cfRule>
    <cfRule type="expression" dxfId="220" priority="843">
      <formula>$G49="Spring 2016"</formula>
    </cfRule>
    <cfRule type="expression" dxfId="219" priority="844">
      <formula>$G49="Spring 2015"</formula>
    </cfRule>
    <cfRule type="expression" dxfId="218" priority="845">
      <formula>$G49="Fall 2016"</formula>
    </cfRule>
    <cfRule type="expression" dxfId="217" priority="846">
      <formula>$G49="Spring 2014"</formula>
    </cfRule>
    <cfRule type="expression" dxfId="216" priority="847">
      <formula>$G49="Fall 2015"</formula>
    </cfRule>
    <cfRule type="expression" dxfId="215" priority="848">
      <formula>$G49="Fall 2014"</formula>
    </cfRule>
    <cfRule type="expression" dxfId="214" priority="849">
      <formula>$G49="Fall 2013"</formula>
    </cfRule>
  </conditionalFormatting>
  <conditionalFormatting sqref="W6">
    <cfRule type="expression" dxfId="213" priority="850">
      <formula>$I51="y"</formula>
    </cfRule>
    <cfRule type="expression" dxfId="212" priority="851">
      <formula>$G51="Spring 2016"</formula>
    </cfRule>
    <cfRule type="expression" dxfId="211" priority="852">
      <formula>$G51="Spring 2015"</formula>
    </cfRule>
    <cfRule type="expression" dxfId="210" priority="853">
      <formula>$G51="Fall 2016"</formula>
    </cfRule>
    <cfRule type="expression" dxfId="209" priority="854">
      <formula>$G51="Spring 2014"</formula>
    </cfRule>
    <cfRule type="expression" dxfId="208" priority="855">
      <formula>$G51="Fall 2015"</formula>
    </cfRule>
    <cfRule type="expression" dxfId="207" priority="856">
      <formula>$G51="Fall 2014"</formula>
    </cfRule>
    <cfRule type="expression" dxfId="206" priority="857">
      <formula>$G51="Fall 2013"</formula>
    </cfRule>
  </conditionalFormatting>
  <conditionalFormatting sqref="W49">
    <cfRule type="expression" dxfId="205" priority="866">
      <formula>$I62="y"</formula>
    </cfRule>
    <cfRule type="expression" dxfId="204" priority="867">
      <formula>$G62="Spring 2016"</formula>
    </cfRule>
    <cfRule type="expression" dxfId="203" priority="868">
      <formula>$G62="Spring 2015"</formula>
    </cfRule>
    <cfRule type="expression" dxfId="202" priority="869">
      <formula>$G62="Fall 2016"</formula>
    </cfRule>
    <cfRule type="expression" dxfId="201" priority="870">
      <formula>$G62="Spring 2014"</formula>
    </cfRule>
    <cfRule type="expression" dxfId="200" priority="871">
      <formula>$G62="Fall 2015"</formula>
    </cfRule>
    <cfRule type="expression" dxfId="199" priority="872">
      <formula>$G62="Fall 2014"</formula>
    </cfRule>
    <cfRule type="expression" dxfId="198" priority="873">
      <formula>$G62="Fall 2013"</formula>
    </cfRule>
  </conditionalFormatting>
  <conditionalFormatting sqref="C33">
    <cfRule type="expression" dxfId="197" priority="1018">
      <formula>$I37="y"</formula>
    </cfRule>
    <cfRule type="expression" dxfId="196" priority="1019">
      <formula>$G37="Spring 2016"</formula>
    </cfRule>
    <cfRule type="expression" dxfId="195" priority="1020">
      <formula>$G37="Spring 2015"</formula>
    </cfRule>
    <cfRule type="expression" dxfId="194" priority="1021">
      <formula>$G37="Fall 2016"</formula>
    </cfRule>
    <cfRule type="expression" dxfId="193" priority="1022">
      <formula>$G37="Spring 2014"</formula>
    </cfRule>
    <cfRule type="expression" dxfId="192" priority="1023">
      <formula>$G37="Fall 2015"</formula>
    </cfRule>
    <cfRule type="expression" dxfId="191" priority="1024">
      <formula>$G37="Fall 2014"</formula>
    </cfRule>
    <cfRule type="expression" dxfId="190" priority="1025">
      <formula>$G37="Fall 2013"</formula>
    </cfRule>
  </conditionalFormatting>
  <conditionalFormatting sqref="W4">
    <cfRule type="expression" dxfId="189" priority="1168">
      <formula>$I47="y"</formula>
    </cfRule>
    <cfRule type="expression" dxfId="188" priority="1169">
      <formula>$G47="Spring 2016"</formula>
    </cfRule>
    <cfRule type="expression" dxfId="187" priority="1170">
      <formula>$G47="Spring 2015"</formula>
    </cfRule>
    <cfRule type="expression" dxfId="186" priority="1171">
      <formula>$G47="Fall 2016"</formula>
    </cfRule>
    <cfRule type="expression" dxfId="185" priority="1172">
      <formula>$G47="Spring 2014"</formula>
    </cfRule>
    <cfRule type="expression" dxfId="184" priority="1173">
      <formula>$G47="Fall 2015"</formula>
    </cfRule>
    <cfRule type="expression" dxfId="183" priority="1174">
      <formula>$G47="Fall 2014"</formula>
    </cfRule>
    <cfRule type="expression" dxfId="182" priority="1175">
      <formula>$G47="Fall 2013"</formula>
    </cfRule>
  </conditionalFormatting>
  <conditionalFormatting sqref="C34">
    <cfRule type="expression" dxfId="181" priority="181">
      <formula>$I34="y"</formula>
    </cfRule>
    <cfRule type="expression" dxfId="180" priority="182">
      <formula>$G34="Spring 2016"</formula>
    </cfRule>
    <cfRule type="expression" dxfId="179" priority="183">
      <formula>$G34="Spring 2015"</formula>
    </cfRule>
    <cfRule type="expression" dxfId="178" priority="184">
      <formula>$G34="Fall 2016"</formula>
    </cfRule>
    <cfRule type="expression" dxfId="177" priority="185">
      <formula>$G34="Spring 2014"</formula>
    </cfRule>
    <cfRule type="expression" dxfId="176" priority="186">
      <formula>$G34="Fall 2015"</formula>
    </cfRule>
    <cfRule type="expression" dxfId="175" priority="187">
      <formula>$G34="Fall 2014"</formula>
    </cfRule>
    <cfRule type="expression" dxfId="174" priority="188">
      <formula>$G34="Fall 2013"</formula>
    </cfRule>
  </conditionalFormatting>
  <conditionalFormatting sqref="R76:R79">
    <cfRule type="cellIs" dxfId="173" priority="163" operator="equal">
      <formula>"N"</formula>
    </cfRule>
    <cfRule type="cellIs" dxfId="172" priority="164" operator="equal">
      <formula>"Y"</formula>
    </cfRule>
  </conditionalFormatting>
  <conditionalFormatting sqref="S82:S84">
    <cfRule type="cellIs" dxfId="171" priority="161" operator="equal">
      <formula>"N"</formula>
    </cfRule>
    <cfRule type="cellIs" dxfId="170" priority="162" operator="equal">
      <formula>"Y"</formula>
    </cfRule>
  </conditionalFormatting>
  <conditionalFormatting sqref="AB74">
    <cfRule type="cellIs" dxfId="169" priority="153" operator="equal">
      <formula>"N"</formula>
    </cfRule>
    <cfRule type="cellIs" dxfId="168" priority="154" operator="equal">
      <formula>"Y"</formula>
    </cfRule>
  </conditionalFormatting>
  <conditionalFormatting sqref="AC82:AC84">
    <cfRule type="cellIs" dxfId="167" priority="159" operator="equal">
      <formula>"N"</formula>
    </cfRule>
    <cfRule type="cellIs" dxfId="166" priority="160" operator="equal">
      <formula>"Y"</formula>
    </cfRule>
  </conditionalFormatting>
  <conditionalFormatting sqref="C81">
    <cfRule type="expression" dxfId="165" priority="165">
      <formula>#REF!="y"</formula>
    </cfRule>
    <cfRule type="expression" dxfId="164" priority="166">
      <formula>#REF!="Spring 2016"</formula>
    </cfRule>
    <cfRule type="expression" dxfId="163" priority="167">
      <formula>#REF!="Spring 2015"</formula>
    </cfRule>
    <cfRule type="expression" dxfId="162" priority="168">
      <formula>#REF!="Fall 2016"</formula>
    </cfRule>
    <cfRule type="expression" dxfId="161" priority="169">
      <formula>#REF!="Spring 2014"</formula>
    </cfRule>
    <cfRule type="expression" dxfId="160" priority="170">
      <formula>#REF!="Fall 2015"</formula>
    </cfRule>
    <cfRule type="expression" dxfId="159" priority="171">
      <formula>#REF!="Fall 2014"</formula>
    </cfRule>
    <cfRule type="expression" dxfId="158" priority="172">
      <formula>#REF!="Fall 2013"</formula>
    </cfRule>
  </conditionalFormatting>
  <conditionalFormatting sqref="H74">
    <cfRule type="cellIs" dxfId="157" priority="157" operator="equal">
      <formula>"N"</formula>
    </cfRule>
    <cfRule type="cellIs" dxfId="156" priority="158" operator="equal">
      <formula>"Y"</formula>
    </cfRule>
  </conditionalFormatting>
  <conditionalFormatting sqref="R74">
    <cfRule type="cellIs" dxfId="155" priority="155" operator="equal">
      <formula>"N"</formula>
    </cfRule>
    <cfRule type="cellIs" dxfId="154" priority="156" operator="equal">
      <formula>"Y"</formula>
    </cfRule>
  </conditionalFormatting>
  <conditionalFormatting sqref="AM82:AM84">
    <cfRule type="cellIs" dxfId="153" priority="151" operator="equal">
      <formula>"N"</formula>
    </cfRule>
    <cfRule type="cellIs" dxfId="152" priority="152" operator="equal">
      <formula>"Y"</formula>
    </cfRule>
  </conditionalFormatting>
  <conditionalFormatting sqref="AL74">
    <cfRule type="cellIs" dxfId="151" priority="149" operator="equal">
      <formula>"N"</formula>
    </cfRule>
    <cfRule type="cellIs" dxfId="150" priority="150" operator="equal">
      <formula>"Y"</formula>
    </cfRule>
  </conditionalFormatting>
  <conditionalFormatting sqref="H72">
    <cfRule type="cellIs" dxfId="149" priority="147" operator="equal">
      <formula>"N"</formula>
    </cfRule>
    <cfRule type="cellIs" dxfId="148" priority="148" operator="equal">
      <formula>"Y"</formula>
    </cfRule>
  </conditionalFormatting>
  <conditionalFormatting sqref="I82:I84">
    <cfRule type="cellIs" dxfId="147" priority="145" operator="equal">
      <formula>"N"</formula>
    </cfRule>
    <cfRule type="cellIs" dxfId="146" priority="146" operator="equal">
      <formula>"Y"</formula>
    </cfRule>
  </conditionalFormatting>
  <conditionalFormatting sqref="W75 W77:W79 AG75 AG77:AG79">
    <cfRule type="expression" dxfId="145" priority="173">
      <formula>$I75="y"</formula>
    </cfRule>
    <cfRule type="expression" dxfId="144" priority="174">
      <formula>$G75="Spring 2016"</formula>
    </cfRule>
    <cfRule type="expression" dxfId="143" priority="175">
      <formula>$G75="Spring 2015"</formula>
    </cfRule>
    <cfRule type="expression" dxfId="142" priority="176">
      <formula>$G75="Fall 2016"</formula>
    </cfRule>
    <cfRule type="expression" dxfId="141" priority="177">
      <formula>$G75="Spring 2014"</formula>
    </cfRule>
    <cfRule type="expression" dxfId="140" priority="178">
      <formula>$G75="Fall 2015"</formula>
    </cfRule>
    <cfRule type="expression" dxfId="139" priority="179">
      <formula>$G75="Fall 2014"</formula>
    </cfRule>
    <cfRule type="expression" dxfId="138" priority="180">
      <formula>$G75="Fall 2013"</formula>
    </cfRule>
  </conditionalFormatting>
  <conditionalFormatting sqref="R90:R93">
    <cfRule type="cellIs" dxfId="137" priority="127" operator="equal">
      <formula>"N"</formula>
    </cfRule>
    <cfRule type="cellIs" dxfId="136" priority="128" operator="equal">
      <formula>"Y"</formula>
    </cfRule>
  </conditionalFormatting>
  <conditionalFormatting sqref="S96:S98">
    <cfRule type="cellIs" dxfId="135" priority="125" operator="equal">
      <formula>"N"</formula>
    </cfRule>
    <cfRule type="cellIs" dxfId="134" priority="126" operator="equal">
      <formula>"Y"</formula>
    </cfRule>
  </conditionalFormatting>
  <conditionalFormatting sqref="AB88">
    <cfRule type="cellIs" dxfId="133" priority="117" operator="equal">
      <formula>"N"</formula>
    </cfRule>
    <cfRule type="cellIs" dxfId="132" priority="118" operator="equal">
      <formula>"Y"</formula>
    </cfRule>
  </conditionalFormatting>
  <conditionalFormatting sqref="AC96:AC98">
    <cfRule type="cellIs" dxfId="131" priority="123" operator="equal">
      <formula>"N"</formula>
    </cfRule>
    <cfRule type="cellIs" dxfId="130" priority="124" operator="equal">
      <formula>"Y"</formula>
    </cfRule>
  </conditionalFormatting>
  <conditionalFormatting sqref="C95">
    <cfRule type="expression" dxfId="129" priority="129">
      <formula>#REF!="y"</formula>
    </cfRule>
    <cfRule type="expression" dxfId="128" priority="130">
      <formula>#REF!="Spring 2016"</formula>
    </cfRule>
    <cfRule type="expression" dxfId="127" priority="131">
      <formula>#REF!="Spring 2015"</formula>
    </cfRule>
    <cfRule type="expression" dxfId="126" priority="132">
      <formula>#REF!="Fall 2016"</formula>
    </cfRule>
    <cfRule type="expression" dxfId="125" priority="133">
      <formula>#REF!="Spring 2014"</formula>
    </cfRule>
    <cfRule type="expression" dxfId="124" priority="134">
      <formula>#REF!="Fall 2015"</formula>
    </cfRule>
    <cfRule type="expression" dxfId="123" priority="135">
      <formula>#REF!="Fall 2014"</formula>
    </cfRule>
    <cfRule type="expression" dxfId="122" priority="136">
      <formula>#REF!="Fall 2013"</formula>
    </cfRule>
  </conditionalFormatting>
  <conditionalFormatting sqref="H88">
    <cfRule type="cellIs" dxfId="121" priority="121" operator="equal">
      <formula>"N"</formula>
    </cfRule>
    <cfRule type="cellIs" dxfId="120" priority="122" operator="equal">
      <formula>"Y"</formula>
    </cfRule>
  </conditionalFormatting>
  <conditionalFormatting sqref="R88">
    <cfRule type="cellIs" dxfId="119" priority="119" operator="equal">
      <formula>"N"</formula>
    </cfRule>
    <cfRule type="cellIs" dxfId="118" priority="120" operator="equal">
      <formula>"Y"</formula>
    </cfRule>
  </conditionalFormatting>
  <conditionalFormatting sqref="AM96:AM98">
    <cfRule type="cellIs" dxfId="117" priority="115" operator="equal">
      <formula>"N"</formula>
    </cfRule>
    <cfRule type="cellIs" dxfId="116" priority="116" operator="equal">
      <formula>"Y"</formula>
    </cfRule>
  </conditionalFormatting>
  <conditionalFormatting sqref="AL88">
    <cfRule type="cellIs" dxfId="115" priority="113" operator="equal">
      <formula>"N"</formula>
    </cfRule>
    <cfRule type="cellIs" dxfId="114" priority="114" operator="equal">
      <formula>"Y"</formula>
    </cfRule>
  </conditionalFormatting>
  <conditionalFormatting sqref="H86">
    <cfRule type="cellIs" dxfId="113" priority="111" operator="equal">
      <formula>"N"</formula>
    </cfRule>
    <cfRule type="cellIs" dxfId="112" priority="112" operator="equal">
      <formula>"Y"</formula>
    </cfRule>
  </conditionalFormatting>
  <conditionalFormatting sqref="I96:I98">
    <cfRule type="cellIs" dxfId="111" priority="109" operator="equal">
      <formula>"N"</formula>
    </cfRule>
    <cfRule type="cellIs" dxfId="110" priority="110" operator="equal">
      <formula>"Y"</formula>
    </cfRule>
  </conditionalFormatting>
  <conditionalFormatting sqref="W89 W91:W93 AG89 AG91:AG93">
    <cfRule type="expression" dxfId="109" priority="137">
      <formula>$I89="y"</formula>
    </cfRule>
    <cfRule type="expression" dxfId="108" priority="138">
      <formula>$G89="Spring 2016"</formula>
    </cfRule>
    <cfRule type="expression" dxfId="107" priority="139">
      <formula>$G89="Spring 2015"</formula>
    </cfRule>
    <cfRule type="expression" dxfId="106" priority="140">
      <formula>$G89="Fall 2016"</formula>
    </cfRule>
    <cfRule type="expression" dxfId="105" priority="141">
      <formula>$G89="Spring 2014"</formula>
    </cfRule>
    <cfRule type="expression" dxfId="104" priority="142">
      <formula>$G89="Fall 2015"</formula>
    </cfRule>
    <cfRule type="expression" dxfId="103" priority="143">
      <formula>$G89="Fall 2014"</formula>
    </cfRule>
    <cfRule type="expression" dxfId="102" priority="144">
      <formula>$G89="Fall 2013"</formula>
    </cfRule>
  </conditionalFormatting>
  <conditionalFormatting sqref="R104:R107">
    <cfRule type="cellIs" dxfId="101" priority="91" operator="equal">
      <formula>"N"</formula>
    </cfRule>
    <cfRule type="cellIs" dxfId="100" priority="92" operator="equal">
      <formula>"Y"</formula>
    </cfRule>
  </conditionalFormatting>
  <conditionalFormatting sqref="S110:S112">
    <cfRule type="cellIs" dxfId="99" priority="89" operator="equal">
      <formula>"N"</formula>
    </cfRule>
    <cfRule type="cellIs" dxfId="98" priority="90" operator="equal">
      <formula>"Y"</formula>
    </cfRule>
  </conditionalFormatting>
  <conditionalFormatting sqref="AB102">
    <cfRule type="cellIs" dxfId="97" priority="81" operator="equal">
      <formula>"N"</formula>
    </cfRule>
    <cfRule type="cellIs" dxfId="96" priority="82" operator="equal">
      <formula>"Y"</formula>
    </cfRule>
  </conditionalFormatting>
  <conditionalFormatting sqref="AC110:AC112">
    <cfRule type="cellIs" dxfId="95" priority="87" operator="equal">
      <formula>"N"</formula>
    </cfRule>
    <cfRule type="cellIs" dxfId="94" priority="88" operator="equal">
      <formula>"Y"</formula>
    </cfRule>
  </conditionalFormatting>
  <conditionalFormatting sqref="C109">
    <cfRule type="expression" dxfId="93" priority="93">
      <formula>#REF!="y"</formula>
    </cfRule>
    <cfRule type="expression" dxfId="92" priority="94">
      <formula>#REF!="Spring 2016"</formula>
    </cfRule>
    <cfRule type="expression" dxfId="91" priority="95">
      <formula>#REF!="Spring 2015"</formula>
    </cfRule>
    <cfRule type="expression" dxfId="90" priority="96">
      <formula>#REF!="Fall 2016"</formula>
    </cfRule>
    <cfRule type="expression" dxfId="89" priority="97">
      <formula>#REF!="Spring 2014"</formula>
    </cfRule>
    <cfRule type="expression" dxfId="88" priority="98">
      <formula>#REF!="Fall 2015"</formula>
    </cfRule>
    <cfRule type="expression" dxfId="87" priority="99">
      <formula>#REF!="Fall 2014"</formula>
    </cfRule>
    <cfRule type="expression" dxfId="86" priority="100">
      <formula>#REF!="Fall 2013"</formula>
    </cfRule>
  </conditionalFormatting>
  <conditionalFormatting sqref="H102">
    <cfRule type="cellIs" dxfId="85" priority="85" operator="equal">
      <formula>"N"</formula>
    </cfRule>
    <cfRule type="cellIs" dxfId="84" priority="86" operator="equal">
      <formula>"Y"</formula>
    </cfRule>
  </conditionalFormatting>
  <conditionalFormatting sqref="R102">
    <cfRule type="cellIs" dxfId="83" priority="83" operator="equal">
      <formula>"N"</formula>
    </cfRule>
    <cfRule type="cellIs" dxfId="82" priority="84" operator="equal">
      <formula>"Y"</formula>
    </cfRule>
  </conditionalFormatting>
  <conditionalFormatting sqref="AM110:AM112">
    <cfRule type="cellIs" dxfId="81" priority="79" operator="equal">
      <formula>"N"</formula>
    </cfRule>
    <cfRule type="cellIs" dxfId="80" priority="80" operator="equal">
      <formula>"Y"</formula>
    </cfRule>
  </conditionalFormatting>
  <conditionalFormatting sqref="AL102">
    <cfRule type="cellIs" dxfId="79" priority="77" operator="equal">
      <formula>"N"</formula>
    </cfRule>
    <cfRule type="cellIs" dxfId="78" priority="78" operator="equal">
      <formula>"Y"</formula>
    </cfRule>
  </conditionalFormatting>
  <conditionalFormatting sqref="H100">
    <cfRule type="cellIs" dxfId="77" priority="75" operator="equal">
      <formula>"N"</formula>
    </cfRule>
    <cfRule type="cellIs" dxfId="76" priority="76" operator="equal">
      <formula>"Y"</formula>
    </cfRule>
  </conditionalFormatting>
  <conditionalFormatting sqref="I110:I112">
    <cfRule type="cellIs" dxfId="75" priority="73" operator="equal">
      <formula>"N"</formula>
    </cfRule>
    <cfRule type="cellIs" dxfId="74" priority="74" operator="equal">
      <formula>"Y"</formula>
    </cfRule>
  </conditionalFormatting>
  <conditionalFormatting sqref="W103 W105:W107 AG103 AG105:AG107">
    <cfRule type="expression" dxfId="73" priority="101">
      <formula>$I103="y"</formula>
    </cfRule>
    <cfRule type="expression" dxfId="72" priority="102">
      <formula>$G103="Spring 2016"</formula>
    </cfRule>
    <cfRule type="expression" dxfId="71" priority="103">
      <formula>$G103="Spring 2015"</formula>
    </cfRule>
    <cfRule type="expression" dxfId="70" priority="104">
      <formula>$G103="Fall 2016"</formula>
    </cfRule>
    <cfRule type="expression" dxfId="69" priority="105">
      <formula>$G103="Spring 2014"</formula>
    </cfRule>
    <cfRule type="expression" dxfId="68" priority="106">
      <formula>$G103="Fall 2015"</formula>
    </cfRule>
    <cfRule type="expression" dxfId="67" priority="107">
      <formula>$G103="Fall 2014"</formula>
    </cfRule>
    <cfRule type="expression" dxfId="66" priority="108">
      <formula>$G103="Fall 2013"</formula>
    </cfRule>
  </conditionalFormatting>
  <conditionalFormatting sqref="W33">
    <cfRule type="expression" dxfId="65" priority="33">
      <formula>#REF!="y"</formula>
    </cfRule>
    <cfRule type="expression" dxfId="64" priority="34">
      <formula>#REF!="Spring 2016"</formula>
    </cfRule>
    <cfRule type="expression" dxfId="63" priority="35">
      <formula>#REF!="Spring 2015"</formula>
    </cfRule>
    <cfRule type="expression" dxfId="62" priority="36">
      <formula>#REF!="Fall 2016"</formula>
    </cfRule>
    <cfRule type="expression" dxfId="61" priority="37">
      <formula>#REF!="Spring 2014"</formula>
    </cfRule>
    <cfRule type="expression" dxfId="60" priority="38">
      <formula>#REF!="Fall 2015"</formula>
    </cfRule>
    <cfRule type="expression" dxfId="59" priority="39">
      <formula>#REF!="Fall 2014"</formula>
    </cfRule>
    <cfRule type="expression" dxfId="58" priority="40">
      <formula>#REF!="Fall 2013"</formula>
    </cfRule>
  </conditionalFormatting>
  <conditionalFormatting sqref="W34">
    <cfRule type="expression" dxfId="57" priority="49">
      <formula>#REF!="y"</formula>
    </cfRule>
    <cfRule type="expression" dxfId="56" priority="50">
      <formula>#REF!="Spring 2016"</formula>
    </cfRule>
    <cfRule type="expression" dxfId="55" priority="51">
      <formula>#REF!="Spring 2015"</formula>
    </cfRule>
    <cfRule type="expression" dxfId="54" priority="52">
      <formula>#REF!="Fall 2016"</formula>
    </cfRule>
    <cfRule type="expression" dxfId="53" priority="53">
      <formula>#REF!="Spring 2014"</formula>
    </cfRule>
    <cfRule type="expression" dxfId="52" priority="54">
      <formula>#REF!="Fall 2015"</formula>
    </cfRule>
    <cfRule type="expression" dxfId="51" priority="55">
      <formula>#REF!="Fall 2014"</formula>
    </cfRule>
    <cfRule type="expression" dxfId="50" priority="56">
      <formula>#REF!="Fall 2013"</formula>
    </cfRule>
  </conditionalFormatting>
  <conditionalFormatting sqref="W35">
    <cfRule type="expression" dxfId="49" priority="41">
      <formula>$I35="y"</formula>
    </cfRule>
    <cfRule type="expression" dxfId="48" priority="42">
      <formula>$G35="Spring 2016"</formula>
    </cfRule>
    <cfRule type="expression" dxfId="47" priority="43">
      <formula>$G35="Spring 2015"</formula>
    </cfRule>
    <cfRule type="expression" dxfId="46" priority="44">
      <formula>$G35="Fall 2016"</formula>
    </cfRule>
    <cfRule type="expression" dxfId="45" priority="45">
      <formula>$G35="Spring 2014"</formula>
    </cfRule>
    <cfRule type="expression" dxfId="44" priority="46">
      <formula>$G35="Fall 2015"</formula>
    </cfRule>
    <cfRule type="expression" dxfId="43" priority="47">
      <formula>$G35="Fall 2014"</formula>
    </cfRule>
    <cfRule type="expression" dxfId="42" priority="48">
      <formula>$G35="Fall 2013"</formula>
    </cfRule>
  </conditionalFormatting>
  <conditionalFormatting sqref="W34">
    <cfRule type="expression" dxfId="41" priority="25">
      <formula>$I34="y"</formula>
    </cfRule>
    <cfRule type="expression" dxfId="40" priority="26">
      <formula>$G34="Spring 2016"</formula>
    </cfRule>
    <cfRule type="expression" dxfId="39" priority="27">
      <formula>$G34="Spring 2015"</formula>
    </cfRule>
    <cfRule type="expression" dxfId="38" priority="28">
      <formula>$G34="Fall 2016"</formula>
    </cfRule>
    <cfRule type="expression" dxfId="37" priority="29">
      <formula>$G34="Spring 2014"</formula>
    </cfRule>
    <cfRule type="expression" dxfId="36" priority="30">
      <formula>$G34="Fall 2015"</formula>
    </cfRule>
    <cfRule type="expression" dxfId="35" priority="31">
      <formula>$G34="Fall 2014"</formula>
    </cfRule>
    <cfRule type="expression" dxfId="34" priority="32">
      <formula>$G34="Fall 2013"</formula>
    </cfRule>
  </conditionalFormatting>
  <conditionalFormatting sqref="C53">
    <cfRule type="expression" dxfId="33" priority="17">
      <formula>$G38="y"</formula>
    </cfRule>
    <cfRule type="expression" dxfId="32" priority="18">
      <formula>$E38="Spring 2016"</formula>
    </cfRule>
    <cfRule type="expression" dxfId="31" priority="19">
      <formula>$E38="Spring 2015"</formula>
    </cfRule>
    <cfRule type="expression" dxfId="30" priority="20">
      <formula>$E38="Fall 2016"</formula>
    </cfRule>
    <cfRule type="expression" dxfId="29" priority="21">
      <formula>$E38="Spring 2014"</formula>
    </cfRule>
    <cfRule type="expression" dxfId="28" priority="22">
      <formula>$E38="Fall 2015"</formula>
    </cfRule>
    <cfRule type="expression" dxfId="27" priority="23">
      <formula>$E38="Fall 2014"</formula>
    </cfRule>
    <cfRule type="expression" dxfId="26" priority="24">
      <formula>$E38="Fall 2013"</formula>
    </cfRule>
  </conditionalFormatting>
  <conditionalFormatting sqref="W48">
    <cfRule type="expression" dxfId="25" priority="9">
      <formula>$I66="y"</formula>
    </cfRule>
    <cfRule type="expression" dxfId="24" priority="10">
      <formula>$G66="Spring 2016"</formula>
    </cfRule>
    <cfRule type="expression" dxfId="23" priority="11">
      <formula>$G66="Spring 2015"</formula>
    </cfRule>
    <cfRule type="expression" dxfId="22" priority="12">
      <formula>$G66="Fall 2016"</formula>
    </cfRule>
    <cfRule type="expression" dxfId="21" priority="13">
      <formula>$G66="Spring 2014"</formula>
    </cfRule>
    <cfRule type="expression" dxfId="20" priority="14">
      <formula>$G66="Fall 2015"</formula>
    </cfRule>
    <cfRule type="expression" dxfId="19" priority="15">
      <formula>$G66="Fall 2014"</formula>
    </cfRule>
    <cfRule type="expression" dxfId="18" priority="16">
      <formula>$G66="Fall 2013"</formula>
    </cfRule>
  </conditionalFormatting>
  <conditionalFormatting sqref="AG38">
    <cfRule type="expression" dxfId="17" priority="1">
      <formula>$G38="y"</formula>
    </cfRule>
    <cfRule type="expression" dxfId="16" priority="2">
      <formula>$E38="Spring 2016"</formula>
    </cfRule>
    <cfRule type="expression" dxfId="15" priority="3">
      <formula>$E38="Spring 2015"</formula>
    </cfRule>
    <cfRule type="expression" dxfId="14" priority="4">
      <formula>$E38="Fall 2016"</formula>
    </cfRule>
    <cfRule type="expression" dxfId="13" priority="5">
      <formula>$E38="Spring 2014"</formula>
    </cfRule>
    <cfRule type="expression" dxfId="12" priority="6">
      <formula>$E38="Fall 2015"</formula>
    </cfRule>
    <cfRule type="expression" dxfId="11" priority="7">
      <formula>$E38="Fall 2014"</formula>
    </cfRule>
    <cfRule type="expression" dxfId="10" priority="8">
      <formula>$E38="Fall 2013"</formula>
    </cfRule>
  </conditionalFormatting>
  <pageMargins left="0.7" right="0.7" top="0.75" bottom="0.75" header="0.3" footer="0.3"/>
  <pageSetup orientation="portrait" r:id="rId1"/>
  <tableParts count="3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37"/>
  <sheetViews>
    <sheetView topLeftCell="A142" zoomScale="70" zoomScaleNormal="70" workbookViewId="0">
      <selection activeCell="A478" sqref="A478"/>
    </sheetView>
  </sheetViews>
  <sheetFormatPr defaultRowHeight="15" outlineLevelRow="1"/>
  <sheetData>
    <row r="1" spans="1:1" outlineLevel="1">
      <c r="A1" s="98"/>
    </row>
    <row r="2" spans="1:1" outlineLevel="1">
      <c r="A2" s="99"/>
    </row>
    <row r="3" spans="1:1" outlineLevel="1">
      <c r="A3" s="99"/>
    </row>
    <row r="4" spans="1:1" outlineLevel="1">
      <c r="A4" s="99"/>
    </row>
    <row r="5" spans="1:1" outlineLevel="1">
      <c r="A5" s="99"/>
    </row>
    <row r="6" spans="1:1" outlineLevel="1">
      <c r="A6" s="99"/>
    </row>
    <row r="7" spans="1:1" outlineLevel="1">
      <c r="A7" s="99"/>
    </row>
    <row r="8" spans="1:1" outlineLevel="1">
      <c r="A8" s="99"/>
    </row>
    <row r="9" spans="1:1" outlineLevel="1">
      <c r="A9" s="99"/>
    </row>
    <row r="10" spans="1:1" outlineLevel="1">
      <c r="A10" s="99"/>
    </row>
    <row r="11" spans="1:1" outlineLevel="1">
      <c r="A11" s="99"/>
    </row>
    <row r="12" spans="1:1" outlineLevel="1">
      <c r="A12" s="99"/>
    </row>
    <row r="13" spans="1:1" outlineLevel="1">
      <c r="A13" s="99"/>
    </row>
    <row r="14" spans="1:1" outlineLevel="1">
      <c r="A14" s="99"/>
    </row>
    <row r="15" spans="1:1" outlineLevel="1">
      <c r="A15" s="99"/>
    </row>
    <row r="16" spans="1:1" outlineLevel="1">
      <c r="A16" s="99"/>
    </row>
    <row r="17" spans="1:1" outlineLevel="1">
      <c r="A17" s="99"/>
    </row>
    <row r="18" spans="1:1" outlineLevel="1">
      <c r="A18" s="99"/>
    </row>
    <row r="19" spans="1:1" outlineLevel="1">
      <c r="A19" s="99"/>
    </row>
    <row r="20" spans="1:1" outlineLevel="1">
      <c r="A20" s="99"/>
    </row>
    <row r="21" spans="1:1" outlineLevel="1">
      <c r="A21" s="99"/>
    </row>
    <row r="22" spans="1:1" outlineLevel="1">
      <c r="A22" s="99"/>
    </row>
    <row r="23" spans="1:1" outlineLevel="1">
      <c r="A23" s="99"/>
    </row>
    <row r="24" spans="1:1" outlineLevel="1">
      <c r="A24" s="99"/>
    </row>
    <row r="25" spans="1:1" outlineLevel="1">
      <c r="A25" s="99"/>
    </row>
    <row r="26" spans="1:1" outlineLevel="1">
      <c r="A26" s="99"/>
    </row>
    <row r="27" spans="1:1" outlineLevel="1">
      <c r="A27" s="99"/>
    </row>
    <row r="28" spans="1:1" outlineLevel="1">
      <c r="A28" s="99"/>
    </row>
    <row r="29" spans="1:1" outlineLevel="1">
      <c r="A29" s="99"/>
    </row>
    <row r="30" spans="1:1" outlineLevel="1">
      <c r="A30" s="99"/>
    </row>
    <row r="31" spans="1:1" outlineLevel="1">
      <c r="A31" s="99"/>
    </row>
    <row r="32" spans="1:1" outlineLevel="1">
      <c r="A32" s="99"/>
    </row>
    <row r="33" spans="1:1" outlineLevel="1">
      <c r="A33" s="99"/>
    </row>
    <row r="34" spans="1:1" outlineLevel="1">
      <c r="A34" s="99"/>
    </row>
    <row r="35" spans="1:1" outlineLevel="1">
      <c r="A35" s="99"/>
    </row>
    <row r="36" spans="1:1" outlineLevel="1">
      <c r="A36" s="99"/>
    </row>
    <row r="37" spans="1:1" outlineLevel="1">
      <c r="A37" s="99"/>
    </row>
    <row r="38" spans="1:1" outlineLevel="1">
      <c r="A38" s="99"/>
    </row>
    <row r="39" spans="1:1" outlineLevel="1">
      <c r="A39" s="99"/>
    </row>
    <row r="40" spans="1:1" outlineLevel="1">
      <c r="A40" s="99"/>
    </row>
    <row r="41" spans="1:1" outlineLevel="1">
      <c r="A41" s="99"/>
    </row>
    <row r="42" spans="1:1" outlineLevel="1">
      <c r="A42" s="99"/>
    </row>
    <row r="43" spans="1:1" outlineLevel="1">
      <c r="A43" s="99"/>
    </row>
    <row r="44" spans="1:1" outlineLevel="1">
      <c r="A44" s="99"/>
    </row>
    <row r="45" spans="1:1" outlineLevel="1">
      <c r="A45" s="99"/>
    </row>
    <row r="46" spans="1:1" outlineLevel="1">
      <c r="A46" s="99"/>
    </row>
    <row r="47" spans="1:1" outlineLevel="1">
      <c r="A47" s="99"/>
    </row>
    <row r="48" spans="1:1" outlineLevel="1">
      <c r="A48" s="99"/>
    </row>
    <row r="49" spans="1:1" outlineLevel="1">
      <c r="A49" s="99"/>
    </row>
    <row r="50" spans="1:1" outlineLevel="1">
      <c r="A50" s="99"/>
    </row>
    <row r="51" spans="1:1" outlineLevel="1">
      <c r="A51" s="99"/>
    </row>
    <row r="52" spans="1:1" outlineLevel="1">
      <c r="A52" s="99"/>
    </row>
    <row r="53" spans="1:1" outlineLevel="1">
      <c r="A53" s="98"/>
    </row>
    <row r="54" spans="1:1" outlineLevel="1">
      <c r="A54" s="98"/>
    </row>
    <row r="55" spans="1:1" outlineLevel="1">
      <c r="A55" s="99"/>
    </row>
    <row r="56" spans="1:1" outlineLevel="1">
      <c r="A56" s="99"/>
    </row>
    <row r="57" spans="1:1" outlineLevel="1">
      <c r="A57" s="99"/>
    </row>
    <row r="58" spans="1:1" outlineLevel="1">
      <c r="A58" s="99"/>
    </row>
    <row r="59" spans="1:1" outlineLevel="1">
      <c r="A59" s="99"/>
    </row>
    <row r="60" spans="1:1" outlineLevel="1">
      <c r="A60" s="99"/>
    </row>
    <row r="61" spans="1:1" outlineLevel="1">
      <c r="A61" s="99"/>
    </row>
    <row r="62" spans="1:1" outlineLevel="1">
      <c r="A62" s="99"/>
    </row>
    <row r="63" spans="1:1" outlineLevel="1">
      <c r="A63" s="99"/>
    </row>
    <row r="64" spans="1:1" outlineLevel="1">
      <c r="A64" s="99"/>
    </row>
    <row r="65" spans="1:1" outlineLevel="1">
      <c r="A65" s="99"/>
    </row>
    <row r="66" spans="1:1" outlineLevel="1">
      <c r="A66" s="99"/>
    </row>
    <row r="67" spans="1:1" outlineLevel="1">
      <c r="A67" s="99"/>
    </row>
    <row r="68" spans="1:1" outlineLevel="1">
      <c r="A68" s="99"/>
    </row>
    <row r="69" spans="1:1" outlineLevel="1">
      <c r="A69" s="99"/>
    </row>
    <row r="70" spans="1:1" outlineLevel="1">
      <c r="A70" s="99"/>
    </row>
    <row r="71" spans="1:1" outlineLevel="1">
      <c r="A71" s="99"/>
    </row>
    <row r="72" spans="1:1" outlineLevel="1">
      <c r="A72" s="99"/>
    </row>
    <row r="73" spans="1:1" outlineLevel="1">
      <c r="A73" s="99"/>
    </row>
    <row r="74" spans="1:1" outlineLevel="1">
      <c r="A74" s="99"/>
    </row>
    <row r="75" spans="1:1" outlineLevel="1">
      <c r="A75" s="99"/>
    </row>
    <row r="76" spans="1:1" outlineLevel="1">
      <c r="A76" s="99"/>
    </row>
    <row r="77" spans="1:1" outlineLevel="1">
      <c r="A77" s="99"/>
    </row>
    <row r="78" spans="1:1" outlineLevel="1">
      <c r="A78" s="99"/>
    </row>
    <row r="79" spans="1:1" outlineLevel="1">
      <c r="A79" s="99"/>
    </row>
    <row r="80" spans="1:1" outlineLevel="1">
      <c r="A80" s="99"/>
    </row>
    <row r="81" spans="1:1" outlineLevel="1">
      <c r="A81" s="99"/>
    </row>
    <row r="82" spans="1:1" outlineLevel="1">
      <c r="A82" s="99"/>
    </row>
    <row r="83" spans="1:1" outlineLevel="1">
      <c r="A83" s="99"/>
    </row>
    <row r="84" spans="1:1" outlineLevel="1">
      <c r="A84" s="99"/>
    </row>
    <row r="85" spans="1:1" outlineLevel="1">
      <c r="A85" s="99"/>
    </row>
    <row r="86" spans="1:1" outlineLevel="1">
      <c r="A86" s="99"/>
    </row>
    <row r="87" spans="1:1" outlineLevel="1">
      <c r="A87" s="99"/>
    </row>
    <row r="88" spans="1:1" outlineLevel="1">
      <c r="A88" s="99"/>
    </row>
    <row r="89" spans="1:1" outlineLevel="1">
      <c r="A89" s="99"/>
    </row>
    <row r="90" spans="1:1" outlineLevel="1">
      <c r="A90" s="99"/>
    </row>
    <row r="91" spans="1:1" outlineLevel="1">
      <c r="A91" s="99"/>
    </row>
    <row r="92" spans="1:1" outlineLevel="1">
      <c r="A92" s="99"/>
    </row>
    <row r="93" spans="1:1" outlineLevel="1">
      <c r="A93" s="99"/>
    </row>
    <row r="94" spans="1:1" outlineLevel="1">
      <c r="A94" s="99"/>
    </row>
    <row r="95" spans="1:1" outlineLevel="1">
      <c r="A95" s="99"/>
    </row>
    <row r="96" spans="1:1" outlineLevel="1">
      <c r="A96" s="99"/>
    </row>
    <row r="97" spans="1:1" outlineLevel="1">
      <c r="A97" s="99"/>
    </row>
    <row r="98" spans="1:1" outlineLevel="1">
      <c r="A98" s="99"/>
    </row>
    <row r="99" spans="1:1" outlineLevel="1">
      <c r="A99" s="99"/>
    </row>
    <row r="100" spans="1:1" outlineLevel="1">
      <c r="A100" s="99"/>
    </row>
    <row r="101" spans="1:1" outlineLevel="1">
      <c r="A101" s="99"/>
    </row>
    <row r="102" spans="1:1" outlineLevel="1">
      <c r="A102" s="99"/>
    </row>
    <row r="103" spans="1:1" outlineLevel="1">
      <c r="A103" s="99"/>
    </row>
    <row r="104" spans="1:1" outlineLevel="1">
      <c r="A104" s="99"/>
    </row>
    <row r="105" spans="1:1" outlineLevel="1">
      <c r="A105" s="99"/>
    </row>
    <row r="106" spans="1:1" outlineLevel="1">
      <c r="A106" s="98"/>
    </row>
    <row r="107" spans="1:1" outlineLevel="1">
      <c r="A107" s="98"/>
    </row>
    <row r="108" spans="1:1" outlineLevel="1">
      <c r="A108" s="99"/>
    </row>
    <row r="109" spans="1:1" outlineLevel="1">
      <c r="A109" s="99"/>
    </row>
    <row r="110" spans="1:1" outlineLevel="1">
      <c r="A110" s="99"/>
    </row>
    <row r="111" spans="1:1" outlineLevel="1">
      <c r="A111" s="99"/>
    </row>
    <row r="112" spans="1:1" outlineLevel="1">
      <c r="A112" s="99"/>
    </row>
    <row r="113" spans="1:1" outlineLevel="1">
      <c r="A113" s="99"/>
    </row>
    <row r="114" spans="1:1" outlineLevel="1">
      <c r="A114" s="99"/>
    </row>
    <row r="115" spans="1:1" outlineLevel="1">
      <c r="A115" s="99"/>
    </row>
    <row r="116" spans="1:1" outlineLevel="1">
      <c r="A116" s="99"/>
    </row>
    <row r="117" spans="1:1" outlineLevel="1">
      <c r="A117" s="99"/>
    </row>
    <row r="118" spans="1:1" outlineLevel="1">
      <c r="A118" s="99"/>
    </row>
    <row r="119" spans="1:1" outlineLevel="1">
      <c r="A119" s="99"/>
    </row>
    <row r="120" spans="1:1" outlineLevel="1">
      <c r="A120" s="99"/>
    </row>
    <row r="121" spans="1:1" outlineLevel="1">
      <c r="A121" s="99"/>
    </row>
    <row r="122" spans="1:1" outlineLevel="1">
      <c r="A122" s="99"/>
    </row>
    <row r="123" spans="1:1" outlineLevel="1">
      <c r="A123" s="99"/>
    </row>
    <row r="124" spans="1:1" outlineLevel="1">
      <c r="A124" s="99"/>
    </row>
    <row r="125" spans="1:1" outlineLevel="1">
      <c r="A125" s="99"/>
    </row>
    <row r="126" spans="1:1" outlineLevel="1">
      <c r="A126" s="99"/>
    </row>
    <row r="127" spans="1:1" outlineLevel="1">
      <c r="A127" s="99"/>
    </row>
    <row r="128" spans="1:1" outlineLevel="1">
      <c r="A128" s="99"/>
    </row>
    <row r="129" spans="1:1" outlineLevel="1">
      <c r="A129" s="99"/>
    </row>
    <row r="130" spans="1:1" outlineLevel="1">
      <c r="A130" s="99"/>
    </row>
    <row r="131" spans="1:1" outlineLevel="1">
      <c r="A131" s="99"/>
    </row>
    <row r="132" spans="1:1" outlineLevel="1">
      <c r="A132" s="99"/>
    </row>
    <row r="133" spans="1:1" outlineLevel="1">
      <c r="A133" s="99"/>
    </row>
    <row r="134" spans="1:1" outlineLevel="1">
      <c r="A134" s="99"/>
    </row>
    <row r="135" spans="1:1" outlineLevel="1">
      <c r="A135" s="99"/>
    </row>
    <row r="136" spans="1:1" outlineLevel="1">
      <c r="A136" s="99"/>
    </row>
    <row r="137" spans="1:1" outlineLevel="1">
      <c r="A137" s="99"/>
    </row>
    <row r="138" spans="1:1" outlineLevel="1">
      <c r="A138" s="99"/>
    </row>
    <row r="139" spans="1:1" outlineLevel="1">
      <c r="A139" s="99"/>
    </row>
    <row r="140" spans="1:1" outlineLevel="1">
      <c r="A140" s="99"/>
    </row>
    <row r="141" spans="1:1" outlineLevel="1">
      <c r="A141" s="99"/>
    </row>
    <row r="142" spans="1:1" outlineLevel="1">
      <c r="A142" s="99"/>
    </row>
    <row r="143" spans="1:1" outlineLevel="1">
      <c r="A143" s="99"/>
    </row>
    <row r="144" spans="1:1" outlineLevel="1">
      <c r="A144" s="99"/>
    </row>
    <row r="145" spans="1:1" outlineLevel="1">
      <c r="A145" s="99"/>
    </row>
    <row r="146" spans="1:1" outlineLevel="1">
      <c r="A146" s="99"/>
    </row>
    <row r="147" spans="1:1" outlineLevel="1">
      <c r="A147" s="99"/>
    </row>
    <row r="148" spans="1:1" outlineLevel="1">
      <c r="A148" s="99"/>
    </row>
    <row r="149" spans="1:1" outlineLevel="1">
      <c r="A149" s="99"/>
    </row>
    <row r="150" spans="1:1" outlineLevel="1">
      <c r="A150" s="99"/>
    </row>
    <row r="151" spans="1:1" outlineLevel="1">
      <c r="A151" s="99"/>
    </row>
    <row r="152" spans="1:1" outlineLevel="1">
      <c r="A152" s="99"/>
    </row>
    <row r="153" spans="1:1" outlineLevel="1">
      <c r="A153" s="99"/>
    </row>
    <row r="154" spans="1:1" outlineLevel="1">
      <c r="A154" s="99"/>
    </row>
    <row r="155" spans="1:1" outlineLevel="1">
      <c r="A155" s="99"/>
    </row>
    <row r="156" spans="1:1" outlineLevel="1">
      <c r="A156" s="99"/>
    </row>
    <row r="157" spans="1:1" outlineLevel="1">
      <c r="A157" s="99"/>
    </row>
    <row r="158" spans="1:1" outlineLevel="1">
      <c r="A158" s="99"/>
    </row>
    <row r="159" spans="1:1" outlineLevel="1">
      <c r="A159" s="98"/>
    </row>
    <row r="160" spans="1:1" outlineLevel="1">
      <c r="A160" s="98"/>
    </row>
    <row r="161" spans="1:1" outlineLevel="1">
      <c r="A161" s="99"/>
    </row>
    <row r="162" spans="1:1" outlineLevel="1">
      <c r="A162" s="99"/>
    </row>
    <row r="163" spans="1:1" outlineLevel="1">
      <c r="A163" s="99"/>
    </row>
    <row r="164" spans="1:1" outlineLevel="1">
      <c r="A164" s="99"/>
    </row>
    <row r="165" spans="1:1" outlineLevel="1">
      <c r="A165" s="99"/>
    </row>
    <row r="166" spans="1:1" outlineLevel="1">
      <c r="A166" s="99"/>
    </row>
    <row r="167" spans="1:1" outlineLevel="1">
      <c r="A167" s="99"/>
    </row>
    <row r="168" spans="1:1" outlineLevel="1">
      <c r="A168" s="99"/>
    </row>
    <row r="169" spans="1:1" outlineLevel="1">
      <c r="A169" s="99"/>
    </row>
    <row r="170" spans="1:1" outlineLevel="1">
      <c r="A170" s="99"/>
    </row>
    <row r="171" spans="1:1" outlineLevel="1">
      <c r="A171" s="99"/>
    </row>
    <row r="172" spans="1:1" outlineLevel="1">
      <c r="A172" s="99"/>
    </row>
    <row r="173" spans="1:1" outlineLevel="1">
      <c r="A173" s="99"/>
    </row>
    <row r="174" spans="1:1" outlineLevel="1">
      <c r="A174" s="99"/>
    </row>
    <row r="175" spans="1:1" outlineLevel="1">
      <c r="A175" s="99"/>
    </row>
    <row r="176" spans="1:1" outlineLevel="1">
      <c r="A176" s="99"/>
    </row>
    <row r="177" spans="1:1" outlineLevel="1">
      <c r="A177" s="99"/>
    </row>
    <row r="178" spans="1:1" outlineLevel="1">
      <c r="A178" s="99"/>
    </row>
    <row r="179" spans="1:1" outlineLevel="1">
      <c r="A179" s="99"/>
    </row>
    <row r="180" spans="1:1" outlineLevel="1">
      <c r="A180" s="99"/>
    </row>
    <row r="181" spans="1:1" outlineLevel="1">
      <c r="A181" s="99"/>
    </row>
    <row r="182" spans="1:1" outlineLevel="1">
      <c r="A182" s="99"/>
    </row>
    <row r="183" spans="1:1" outlineLevel="1">
      <c r="A183" s="99"/>
    </row>
    <row r="184" spans="1:1" outlineLevel="1">
      <c r="A184" s="99"/>
    </row>
    <row r="185" spans="1:1" outlineLevel="1">
      <c r="A185" s="99"/>
    </row>
    <row r="186" spans="1:1" outlineLevel="1">
      <c r="A186" s="99"/>
    </row>
    <row r="187" spans="1:1" outlineLevel="1">
      <c r="A187" s="99"/>
    </row>
    <row r="188" spans="1:1" outlineLevel="1">
      <c r="A188" s="99"/>
    </row>
    <row r="189" spans="1:1" outlineLevel="1">
      <c r="A189" s="99"/>
    </row>
    <row r="190" spans="1:1" outlineLevel="1">
      <c r="A190" s="99"/>
    </row>
    <row r="191" spans="1:1" outlineLevel="1">
      <c r="A191" s="99"/>
    </row>
    <row r="192" spans="1:1" outlineLevel="1">
      <c r="A192" s="99"/>
    </row>
    <row r="193" spans="1:1" outlineLevel="1">
      <c r="A193" s="99"/>
    </row>
    <row r="194" spans="1:1" outlineLevel="1">
      <c r="A194" s="99"/>
    </row>
    <row r="195" spans="1:1" outlineLevel="1">
      <c r="A195" s="99"/>
    </row>
    <row r="196" spans="1:1" outlineLevel="1">
      <c r="A196" s="99"/>
    </row>
    <row r="197" spans="1:1" outlineLevel="1">
      <c r="A197" s="99"/>
    </row>
    <row r="198" spans="1:1" outlineLevel="1">
      <c r="A198" s="99"/>
    </row>
    <row r="199" spans="1:1" outlineLevel="1">
      <c r="A199" s="99"/>
    </row>
    <row r="200" spans="1:1" outlineLevel="1">
      <c r="A200" s="99"/>
    </row>
    <row r="201" spans="1:1" outlineLevel="1">
      <c r="A201" s="99"/>
    </row>
    <row r="202" spans="1:1" outlineLevel="1">
      <c r="A202" s="99"/>
    </row>
    <row r="203" spans="1:1" outlineLevel="1">
      <c r="A203" s="99"/>
    </row>
    <row r="204" spans="1:1" outlineLevel="1">
      <c r="A204" s="99"/>
    </row>
    <row r="205" spans="1:1" outlineLevel="1">
      <c r="A205" s="99"/>
    </row>
    <row r="206" spans="1:1" outlineLevel="1">
      <c r="A206" s="99"/>
    </row>
    <row r="207" spans="1:1" outlineLevel="1">
      <c r="A207" s="99"/>
    </row>
    <row r="208" spans="1:1" outlineLevel="1">
      <c r="A208" s="99"/>
    </row>
    <row r="209" spans="1:1" outlineLevel="1">
      <c r="A209" s="99"/>
    </row>
    <row r="210" spans="1:1" outlineLevel="1">
      <c r="A210" s="99"/>
    </row>
    <row r="211" spans="1:1" outlineLevel="1">
      <c r="A211" s="99"/>
    </row>
    <row r="212" spans="1:1" outlineLevel="1">
      <c r="A212" s="98"/>
    </row>
    <row r="213" spans="1:1" outlineLevel="1">
      <c r="A213" s="98"/>
    </row>
    <row r="214" spans="1:1" outlineLevel="1">
      <c r="A214" s="99"/>
    </row>
    <row r="215" spans="1:1" outlineLevel="1">
      <c r="A215" s="99"/>
    </row>
    <row r="216" spans="1:1" outlineLevel="1">
      <c r="A216" s="99"/>
    </row>
    <row r="217" spans="1:1" outlineLevel="1">
      <c r="A217" s="99"/>
    </row>
    <row r="218" spans="1:1" outlineLevel="1">
      <c r="A218" s="99"/>
    </row>
    <row r="219" spans="1:1" outlineLevel="1">
      <c r="A219" s="99"/>
    </row>
    <row r="220" spans="1:1" outlineLevel="1">
      <c r="A220" s="99"/>
    </row>
    <row r="221" spans="1:1" outlineLevel="1">
      <c r="A221" s="99"/>
    </row>
    <row r="222" spans="1:1" outlineLevel="1">
      <c r="A222" s="99"/>
    </row>
    <row r="223" spans="1:1" outlineLevel="1">
      <c r="A223" s="99"/>
    </row>
    <row r="224" spans="1:1" outlineLevel="1">
      <c r="A224" s="99"/>
    </row>
    <row r="225" spans="1:1" outlineLevel="1">
      <c r="A225" s="99"/>
    </row>
    <row r="226" spans="1:1" outlineLevel="1">
      <c r="A226" s="99"/>
    </row>
    <row r="227" spans="1:1" outlineLevel="1">
      <c r="A227" s="99"/>
    </row>
    <row r="228" spans="1:1" outlineLevel="1">
      <c r="A228" s="99"/>
    </row>
    <row r="229" spans="1:1" outlineLevel="1">
      <c r="A229" s="99"/>
    </row>
    <row r="230" spans="1:1" outlineLevel="1">
      <c r="A230" s="99"/>
    </row>
    <row r="231" spans="1:1" outlineLevel="1">
      <c r="A231" s="99"/>
    </row>
    <row r="232" spans="1:1" outlineLevel="1">
      <c r="A232" s="99"/>
    </row>
    <row r="233" spans="1:1" outlineLevel="1">
      <c r="A233" s="99"/>
    </row>
    <row r="234" spans="1:1" outlineLevel="1">
      <c r="A234" s="99"/>
    </row>
    <row r="235" spans="1:1" outlineLevel="1">
      <c r="A235" s="99"/>
    </row>
    <row r="236" spans="1:1" outlineLevel="1">
      <c r="A236" s="99"/>
    </row>
    <row r="237" spans="1:1" outlineLevel="1">
      <c r="A237" s="99"/>
    </row>
    <row r="238" spans="1:1" outlineLevel="1">
      <c r="A238" s="99"/>
    </row>
    <row r="239" spans="1:1" outlineLevel="1">
      <c r="A239" s="99"/>
    </row>
    <row r="240" spans="1:1" outlineLevel="1">
      <c r="A240" s="99"/>
    </row>
    <row r="241" spans="1:1" outlineLevel="1">
      <c r="A241" s="99"/>
    </row>
    <row r="242" spans="1:1" outlineLevel="1">
      <c r="A242" s="99"/>
    </row>
    <row r="243" spans="1:1" outlineLevel="1">
      <c r="A243" s="99"/>
    </row>
    <row r="244" spans="1:1" outlineLevel="1">
      <c r="A244" s="99"/>
    </row>
    <row r="245" spans="1:1" outlineLevel="1">
      <c r="A245" s="99"/>
    </row>
    <row r="246" spans="1:1" outlineLevel="1">
      <c r="A246" s="99"/>
    </row>
    <row r="247" spans="1:1" outlineLevel="1">
      <c r="A247" s="99"/>
    </row>
    <row r="248" spans="1:1" outlineLevel="1">
      <c r="A248" s="99"/>
    </row>
    <row r="249" spans="1:1" outlineLevel="1">
      <c r="A249" s="99"/>
    </row>
    <row r="250" spans="1:1" outlineLevel="1">
      <c r="A250" s="99"/>
    </row>
    <row r="251" spans="1:1" outlineLevel="1">
      <c r="A251" s="99"/>
    </row>
    <row r="252" spans="1:1" outlineLevel="1">
      <c r="A252" s="99"/>
    </row>
    <row r="253" spans="1:1" outlineLevel="1">
      <c r="A253" s="99"/>
    </row>
    <row r="254" spans="1:1" outlineLevel="1">
      <c r="A254" s="99"/>
    </row>
    <row r="255" spans="1:1" outlineLevel="1">
      <c r="A255" s="99"/>
    </row>
    <row r="256" spans="1:1" outlineLevel="1">
      <c r="A256" s="99"/>
    </row>
    <row r="257" spans="1:1" outlineLevel="1">
      <c r="A257" s="99"/>
    </row>
    <row r="258" spans="1:1" outlineLevel="1">
      <c r="A258" s="99"/>
    </row>
    <row r="259" spans="1:1" outlineLevel="1">
      <c r="A259" s="99"/>
    </row>
    <row r="260" spans="1:1" outlineLevel="1">
      <c r="A260" s="99"/>
    </row>
    <row r="261" spans="1:1" outlineLevel="1">
      <c r="A261" s="99"/>
    </row>
    <row r="262" spans="1:1" outlineLevel="1">
      <c r="A262" s="99"/>
    </row>
    <row r="263" spans="1:1" outlineLevel="1">
      <c r="A263" s="99"/>
    </row>
    <row r="264" spans="1:1" outlineLevel="1">
      <c r="A264" s="99"/>
    </row>
    <row r="265" spans="1:1" outlineLevel="1">
      <c r="A265" s="98"/>
    </row>
    <row r="266" spans="1:1" outlineLevel="1">
      <c r="A266" s="98"/>
    </row>
    <row r="267" spans="1:1" outlineLevel="1">
      <c r="A267" s="99"/>
    </row>
    <row r="268" spans="1:1" outlineLevel="1">
      <c r="A268" s="99"/>
    </row>
    <row r="269" spans="1:1" outlineLevel="1">
      <c r="A269" s="99"/>
    </row>
    <row r="270" spans="1:1" outlineLevel="1">
      <c r="A270" s="99"/>
    </row>
    <row r="271" spans="1:1" outlineLevel="1">
      <c r="A271" s="99"/>
    </row>
    <row r="272" spans="1:1" outlineLevel="1">
      <c r="A272" s="99"/>
    </row>
    <row r="273" spans="1:1" outlineLevel="1">
      <c r="A273" s="99"/>
    </row>
    <row r="274" spans="1:1" outlineLevel="1">
      <c r="A274" s="99"/>
    </row>
    <row r="275" spans="1:1" outlineLevel="1">
      <c r="A275" s="99"/>
    </row>
    <row r="276" spans="1:1" outlineLevel="1">
      <c r="A276" s="99"/>
    </row>
    <row r="277" spans="1:1" outlineLevel="1">
      <c r="A277" s="99"/>
    </row>
    <row r="278" spans="1:1" outlineLevel="1">
      <c r="A278" s="99"/>
    </row>
    <row r="279" spans="1:1" outlineLevel="1">
      <c r="A279" s="99"/>
    </row>
    <row r="280" spans="1:1" outlineLevel="1">
      <c r="A280" s="99"/>
    </row>
    <row r="281" spans="1:1" outlineLevel="1">
      <c r="A281" s="99"/>
    </row>
    <row r="282" spans="1:1" outlineLevel="1">
      <c r="A282" s="99"/>
    </row>
    <row r="283" spans="1:1" outlineLevel="1">
      <c r="A283" s="99"/>
    </row>
    <row r="284" spans="1:1" outlineLevel="1">
      <c r="A284" s="99"/>
    </row>
    <row r="285" spans="1:1" outlineLevel="1">
      <c r="A285" s="99"/>
    </row>
    <row r="286" spans="1:1" outlineLevel="1">
      <c r="A286" s="99"/>
    </row>
    <row r="287" spans="1:1" outlineLevel="1">
      <c r="A287" s="99"/>
    </row>
    <row r="288" spans="1:1" outlineLevel="1">
      <c r="A288" s="99"/>
    </row>
    <row r="289" spans="1:1" outlineLevel="1">
      <c r="A289" s="99"/>
    </row>
    <row r="290" spans="1:1" outlineLevel="1">
      <c r="A290" s="99"/>
    </row>
    <row r="291" spans="1:1" outlineLevel="1">
      <c r="A291" s="99"/>
    </row>
    <row r="292" spans="1:1" outlineLevel="1">
      <c r="A292" s="99"/>
    </row>
    <row r="293" spans="1:1" outlineLevel="1">
      <c r="A293" s="99"/>
    </row>
    <row r="294" spans="1:1" outlineLevel="1">
      <c r="A294" s="99"/>
    </row>
    <row r="295" spans="1:1" outlineLevel="1">
      <c r="A295" s="99"/>
    </row>
    <row r="296" spans="1:1" outlineLevel="1">
      <c r="A296" s="99"/>
    </row>
    <row r="297" spans="1:1" outlineLevel="1">
      <c r="A297" s="99"/>
    </row>
    <row r="298" spans="1:1" outlineLevel="1">
      <c r="A298" s="99"/>
    </row>
    <row r="299" spans="1:1" outlineLevel="1">
      <c r="A299" s="99"/>
    </row>
    <row r="300" spans="1:1" outlineLevel="1">
      <c r="A300" s="99"/>
    </row>
    <row r="301" spans="1:1" outlineLevel="1">
      <c r="A301" s="99"/>
    </row>
    <row r="302" spans="1:1" outlineLevel="1">
      <c r="A302" s="99"/>
    </row>
    <row r="303" spans="1:1" outlineLevel="1">
      <c r="A303" s="99"/>
    </row>
    <row r="304" spans="1:1" outlineLevel="1">
      <c r="A304" s="99"/>
    </row>
    <row r="305" spans="1:1" outlineLevel="1">
      <c r="A305" s="99"/>
    </row>
    <row r="306" spans="1:1" outlineLevel="1">
      <c r="A306" s="99"/>
    </row>
    <row r="307" spans="1:1" outlineLevel="1">
      <c r="A307" s="99"/>
    </row>
    <row r="308" spans="1:1" outlineLevel="1">
      <c r="A308" s="99"/>
    </row>
    <row r="309" spans="1:1" outlineLevel="1">
      <c r="A309" s="99"/>
    </row>
    <row r="310" spans="1:1" outlineLevel="1">
      <c r="A310" s="99"/>
    </row>
    <row r="311" spans="1:1" outlineLevel="1">
      <c r="A311" s="99"/>
    </row>
    <row r="312" spans="1:1" outlineLevel="1">
      <c r="A312" s="99"/>
    </row>
    <row r="313" spans="1:1" outlineLevel="1">
      <c r="A313" s="99"/>
    </row>
    <row r="314" spans="1:1" outlineLevel="1">
      <c r="A314" s="99"/>
    </row>
    <row r="315" spans="1:1" outlineLevel="1">
      <c r="A315" s="99"/>
    </row>
    <row r="316" spans="1:1" outlineLevel="1">
      <c r="A316" s="99"/>
    </row>
    <row r="317" spans="1:1" outlineLevel="1">
      <c r="A317" s="99"/>
    </row>
    <row r="318" spans="1:1" outlineLevel="1">
      <c r="A318" s="98"/>
    </row>
    <row r="319" spans="1:1" outlineLevel="1">
      <c r="A319" s="98"/>
    </row>
    <row r="320" spans="1:1" outlineLevel="1">
      <c r="A320" s="99"/>
    </row>
    <row r="321" spans="1:1" outlineLevel="1">
      <c r="A321" s="99"/>
    </row>
    <row r="322" spans="1:1" outlineLevel="1">
      <c r="A322" s="99"/>
    </row>
    <row r="323" spans="1:1" outlineLevel="1">
      <c r="A323" s="99"/>
    </row>
    <row r="324" spans="1:1" outlineLevel="1">
      <c r="A324" s="99"/>
    </row>
    <row r="325" spans="1:1" outlineLevel="1">
      <c r="A325" s="99"/>
    </row>
    <row r="326" spans="1:1" outlineLevel="1">
      <c r="A326" s="99"/>
    </row>
    <row r="327" spans="1:1" outlineLevel="1">
      <c r="A327" s="99"/>
    </row>
    <row r="328" spans="1:1" outlineLevel="1">
      <c r="A328" s="99"/>
    </row>
    <row r="329" spans="1:1" outlineLevel="1">
      <c r="A329" s="99"/>
    </row>
    <row r="330" spans="1:1" outlineLevel="1">
      <c r="A330" s="99"/>
    </row>
    <row r="331" spans="1:1" outlineLevel="1">
      <c r="A331" s="99"/>
    </row>
    <row r="332" spans="1:1" outlineLevel="1">
      <c r="A332" s="99"/>
    </row>
    <row r="333" spans="1:1" outlineLevel="1">
      <c r="A333" s="99"/>
    </row>
    <row r="334" spans="1:1" outlineLevel="1">
      <c r="A334" s="99"/>
    </row>
    <row r="335" spans="1:1" outlineLevel="1">
      <c r="A335" s="99"/>
    </row>
    <row r="336" spans="1:1" outlineLevel="1">
      <c r="A336" s="99"/>
    </row>
    <row r="337" spans="1:1" outlineLevel="1">
      <c r="A337" s="99"/>
    </row>
    <row r="338" spans="1:1" outlineLevel="1">
      <c r="A338" s="99"/>
    </row>
    <row r="339" spans="1:1" outlineLevel="1">
      <c r="A339" s="99"/>
    </row>
    <row r="340" spans="1:1" outlineLevel="1">
      <c r="A340" s="99"/>
    </row>
    <row r="341" spans="1:1" outlineLevel="1">
      <c r="A341" s="99"/>
    </row>
    <row r="342" spans="1:1" outlineLevel="1">
      <c r="A342" s="99"/>
    </row>
    <row r="343" spans="1:1" outlineLevel="1">
      <c r="A343" s="99"/>
    </row>
    <row r="344" spans="1:1" outlineLevel="1">
      <c r="A344" s="99"/>
    </row>
    <row r="345" spans="1:1" outlineLevel="1">
      <c r="A345" s="99"/>
    </row>
    <row r="346" spans="1:1" outlineLevel="1">
      <c r="A346" s="99"/>
    </row>
    <row r="347" spans="1:1" outlineLevel="1">
      <c r="A347" s="99"/>
    </row>
    <row r="348" spans="1:1" outlineLevel="1">
      <c r="A348" s="99"/>
    </row>
    <row r="349" spans="1:1" outlineLevel="1">
      <c r="A349" s="99"/>
    </row>
    <row r="350" spans="1:1" outlineLevel="1">
      <c r="A350" s="99"/>
    </row>
    <row r="351" spans="1:1" outlineLevel="1">
      <c r="A351" s="99"/>
    </row>
    <row r="352" spans="1:1" outlineLevel="1">
      <c r="A352" s="99"/>
    </row>
    <row r="353" spans="1:1" outlineLevel="1">
      <c r="A353" s="99"/>
    </row>
    <row r="354" spans="1:1" outlineLevel="1">
      <c r="A354" s="99"/>
    </row>
    <row r="355" spans="1:1" outlineLevel="1">
      <c r="A355" s="99"/>
    </row>
    <row r="356" spans="1:1" outlineLevel="1">
      <c r="A356" s="99"/>
    </row>
    <row r="357" spans="1:1" outlineLevel="1">
      <c r="A357" s="99"/>
    </row>
    <row r="358" spans="1:1" outlineLevel="1">
      <c r="A358" s="99"/>
    </row>
    <row r="359" spans="1:1" outlineLevel="1">
      <c r="A359" s="99"/>
    </row>
    <row r="360" spans="1:1" outlineLevel="1">
      <c r="A360" s="99"/>
    </row>
    <row r="361" spans="1:1" outlineLevel="1">
      <c r="A361" s="99"/>
    </row>
    <row r="362" spans="1:1" outlineLevel="1">
      <c r="A362" s="99"/>
    </row>
    <row r="363" spans="1:1" outlineLevel="1">
      <c r="A363" s="99"/>
    </row>
    <row r="364" spans="1:1" outlineLevel="1">
      <c r="A364" s="99"/>
    </row>
    <row r="365" spans="1:1" outlineLevel="1">
      <c r="A365" s="99"/>
    </row>
    <row r="366" spans="1:1" outlineLevel="1">
      <c r="A366" s="99"/>
    </row>
    <row r="367" spans="1:1" outlineLevel="1">
      <c r="A367" s="99"/>
    </row>
    <row r="368" spans="1:1" outlineLevel="1">
      <c r="A368" s="99"/>
    </row>
    <row r="369" spans="1:1" outlineLevel="1">
      <c r="A369" s="99"/>
    </row>
    <row r="370" spans="1:1" outlineLevel="1">
      <c r="A370" s="99"/>
    </row>
    <row r="371" spans="1:1" outlineLevel="1"/>
    <row r="372" spans="1:1" outlineLevel="1"/>
    <row r="373" spans="1:1" outlineLevel="1"/>
    <row r="374" spans="1:1" outlineLevel="1"/>
    <row r="375" spans="1:1" outlineLevel="1"/>
    <row r="376" spans="1:1" outlineLevel="1"/>
    <row r="377" spans="1:1" outlineLevel="1"/>
    <row r="378" spans="1:1" outlineLevel="1"/>
    <row r="379" spans="1:1" outlineLevel="1"/>
    <row r="380" spans="1:1" outlineLevel="1"/>
    <row r="381" spans="1:1" outlineLevel="1"/>
    <row r="382" spans="1:1" outlineLevel="1"/>
    <row r="383" spans="1:1" outlineLevel="1"/>
    <row r="384" spans="1:1" outlineLevel="1"/>
    <row r="385" outlineLevel="1"/>
    <row r="386" outlineLevel="1"/>
    <row r="387" outlineLevel="1"/>
    <row r="388" outlineLevel="1"/>
    <row r="389" outlineLevel="1"/>
    <row r="390" outlineLevel="1"/>
    <row r="391" outlineLevel="1"/>
    <row r="392" outlineLevel="1"/>
    <row r="393" outlineLevel="1"/>
    <row r="394" outlineLevel="1"/>
    <row r="395" outlineLevel="1"/>
    <row r="396" outlineLevel="1"/>
    <row r="397" outlineLevel="1"/>
    <row r="398" outlineLevel="1"/>
    <row r="399" outlineLevel="1"/>
    <row r="400" outlineLevel="1"/>
    <row r="401" outlineLevel="1"/>
    <row r="402" outlineLevel="1"/>
    <row r="403" outlineLevel="1"/>
    <row r="404" outlineLevel="1"/>
    <row r="405" outlineLevel="1"/>
    <row r="406" outlineLevel="1"/>
    <row r="407" outlineLevel="1"/>
    <row r="408" outlineLevel="1"/>
    <row r="409" outlineLevel="1"/>
    <row r="410" outlineLevel="1"/>
    <row r="411" outlineLevel="1"/>
    <row r="412" outlineLevel="1"/>
    <row r="413" outlineLevel="1"/>
    <row r="414" outlineLevel="1"/>
    <row r="415" outlineLevel="1"/>
    <row r="416" outlineLevel="1"/>
    <row r="417" outlineLevel="1"/>
    <row r="418" outlineLevel="1"/>
    <row r="419" outlineLevel="1"/>
    <row r="420" outlineLevel="1"/>
    <row r="421" outlineLevel="1"/>
    <row r="422" outlineLevel="1"/>
    <row r="423" outlineLevel="1"/>
    <row r="424" outlineLevel="1"/>
    <row r="425" outlineLevel="1"/>
    <row r="426" outlineLevel="1"/>
    <row r="427" outlineLevel="1"/>
    <row r="428" outlineLevel="1"/>
    <row r="429" outlineLevel="1"/>
    <row r="430" outlineLevel="1"/>
    <row r="431" outlineLevel="1"/>
    <row r="432" outlineLevel="1"/>
    <row r="433" outlineLevel="1"/>
    <row r="434" outlineLevel="1"/>
    <row r="435" outlineLevel="1"/>
    <row r="436" outlineLevel="1"/>
    <row r="437" outlineLevel="1"/>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Q25" zoomScale="70" zoomScaleNormal="70" workbookViewId="0">
      <selection activeCell="AI34" sqref="AI34"/>
    </sheetView>
  </sheetViews>
  <sheetFormatPr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33"/>
  <sheetViews>
    <sheetView workbookViewId="0">
      <selection activeCell="D52" sqref="D52"/>
    </sheetView>
  </sheetViews>
  <sheetFormatPr defaultRowHeight="15"/>
  <cols>
    <col min="1" max="1" width="56.7109375" customWidth="1"/>
    <col min="2" max="2" width="33" customWidth="1"/>
    <col min="4" max="4" width="57" customWidth="1"/>
    <col min="5" max="5" width="32.140625" customWidth="1"/>
    <col min="7" max="7" width="57.28515625" customWidth="1"/>
    <col min="8" max="8" width="34.5703125" customWidth="1"/>
  </cols>
  <sheetData>
    <row r="1" spans="1:8" ht="100.5" customHeight="1">
      <c r="A1" s="100" t="s">
        <v>230</v>
      </c>
    </row>
    <row r="2" spans="1:8" ht="12.75" customHeight="1">
      <c r="A2" s="101" t="s">
        <v>231</v>
      </c>
    </row>
    <row r="3" spans="1:8" ht="150" customHeight="1">
      <c r="A3" s="102" t="s">
        <v>232</v>
      </c>
      <c r="D3" s="200" t="s">
        <v>233</v>
      </c>
      <c r="E3" s="200"/>
    </row>
    <row r="4" spans="1:8" ht="15.75">
      <c r="A4" s="104" t="s">
        <v>234</v>
      </c>
      <c r="B4" s="104" t="s">
        <v>235</v>
      </c>
      <c r="D4" s="105" t="s">
        <v>236</v>
      </c>
      <c r="G4" s="105" t="s">
        <v>237</v>
      </c>
    </row>
    <row r="5" spans="1:8" ht="31.5">
      <c r="A5" s="106" t="s">
        <v>238</v>
      </c>
      <c r="B5" s="106" t="s">
        <v>239</v>
      </c>
      <c r="D5" s="104" t="s">
        <v>240</v>
      </c>
      <c r="E5" s="104" t="s">
        <v>241</v>
      </c>
      <c r="G5" s="104" t="s">
        <v>242</v>
      </c>
    </row>
    <row r="6" spans="1:8">
      <c r="A6" s="106" t="s">
        <v>243</v>
      </c>
      <c r="B6" s="106" t="s">
        <v>243</v>
      </c>
      <c r="D6" s="106" t="s">
        <v>244</v>
      </c>
      <c r="E6" s="106" t="s">
        <v>245</v>
      </c>
      <c r="G6" s="106" t="s">
        <v>246</v>
      </c>
    </row>
    <row r="7" spans="1:8">
      <c r="A7" s="106" t="s">
        <v>247</v>
      </c>
      <c r="B7" s="106" t="s">
        <v>248</v>
      </c>
      <c r="D7" s="106" t="s">
        <v>243</v>
      </c>
      <c r="E7" s="106" t="s">
        <v>243</v>
      </c>
      <c r="G7" s="106" t="s">
        <v>243</v>
      </c>
    </row>
    <row r="8" spans="1:8" ht="30.75">
      <c r="A8" s="104" t="s">
        <v>249</v>
      </c>
      <c r="B8" s="104" t="s">
        <v>250</v>
      </c>
      <c r="D8" s="104" t="s">
        <v>251</v>
      </c>
      <c r="E8" s="104" t="s">
        <v>252</v>
      </c>
      <c r="G8" s="104" t="s">
        <v>253</v>
      </c>
    </row>
    <row r="9" spans="1:8" ht="15.75">
      <c r="A9" s="104" t="s">
        <v>254</v>
      </c>
      <c r="B9" s="104" t="s">
        <v>254</v>
      </c>
      <c r="D9" s="104" t="s">
        <v>255</v>
      </c>
      <c r="E9" s="104" t="s">
        <v>256</v>
      </c>
      <c r="G9" s="104" t="s">
        <v>257</v>
      </c>
    </row>
    <row r="10" spans="1:8" ht="30.75">
      <c r="A10" s="104" t="s">
        <v>258</v>
      </c>
      <c r="B10" s="104" t="s">
        <v>258</v>
      </c>
      <c r="D10" s="104" t="s">
        <v>254</v>
      </c>
      <c r="E10" s="104" t="s">
        <v>259</v>
      </c>
      <c r="G10" s="104" t="s">
        <v>254</v>
      </c>
    </row>
    <row r="11" spans="1:8" ht="30.75">
      <c r="A11" s="107" t="s">
        <v>129</v>
      </c>
      <c r="B11" s="107" t="s">
        <v>260</v>
      </c>
      <c r="D11" s="104" t="s">
        <v>261</v>
      </c>
      <c r="E11" s="104" t="s">
        <v>262</v>
      </c>
      <c r="G11" s="104" t="s">
        <v>258</v>
      </c>
    </row>
    <row r="12" spans="1:8" ht="15.75">
      <c r="A12" s="108" t="s">
        <v>263</v>
      </c>
      <c r="B12" s="108" t="s">
        <v>264</v>
      </c>
      <c r="D12" s="105" t="s">
        <v>265</v>
      </c>
      <c r="G12" s="105" t="s">
        <v>266</v>
      </c>
    </row>
    <row r="13" spans="1:8" ht="31.5">
      <c r="A13" s="108" t="s">
        <v>243</v>
      </c>
      <c r="B13" s="108" t="s">
        <v>243</v>
      </c>
      <c r="D13" s="104" t="s">
        <v>267</v>
      </c>
      <c r="E13" s="199"/>
      <c r="G13" s="104" t="s">
        <v>268</v>
      </c>
      <c r="H13" s="199"/>
    </row>
    <row r="14" spans="1:8">
      <c r="A14" s="108" t="s">
        <v>269</v>
      </c>
      <c r="B14" s="108" t="s">
        <v>248</v>
      </c>
      <c r="D14" s="106" t="s">
        <v>270</v>
      </c>
      <c r="E14" s="199"/>
      <c r="G14" s="106" t="s">
        <v>271</v>
      </c>
      <c r="H14" s="199"/>
    </row>
    <row r="15" spans="1:8" ht="60.75">
      <c r="A15" s="107" t="s">
        <v>272</v>
      </c>
      <c r="B15" s="107" t="s">
        <v>273</v>
      </c>
      <c r="D15" s="106" t="s">
        <v>243</v>
      </c>
      <c r="E15" s="199"/>
      <c r="G15" s="106" t="s">
        <v>243</v>
      </c>
      <c r="H15" s="199"/>
    </row>
    <row r="16" spans="1:8" ht="30.75">
      <c r="A16" s="107" t="s">
        <v>254</v>
      </c>
      <c r="B16" s="107" t="s">
        <v>274</v>
      </c>
      <c r="D16" s="104" t="s">
        <v>275</v>
      </c>
      <c r="E16" s="199"/>
      <c r="G16" s="104" t="s">
        <v>276</v>
      </c>
      <c r="H16" s="199"/>
    </row>
    <row r="17" spans="1:8" ht="15.75">
      <c r="A17" s="107" t="s">
        <v>258</v>
      </c>
      <c r="B17" s="107" t="s">
        <v>277</v>
      </c>
      <c r="D17" s="104" t="s">
        <v>278</v>
      </c>
      <c r="E17" s="199"/>
      <c r="G17" s="104" t="s">
        <v>279</v>
      </c>
      <c r="H17" s="199"/>
    </row>
    <row r="18" spans="1:8" ht="30.75">
      <c r="A18" s="109"/>
      <c r="B18" s="107" t="s">
        <v>280</v>
      </c>
      <c r="D18" s="104" t="s">
        <v>281</v>
      </c>
      <c r="E18" s="199"/>
      <c r="G18" s="104" t="s">
        <v>254</v>
      </c>
      <c r="H18" s="199"/>
    </row>
    <row r="19" spans="1:8" ht="31.5">
      <c r="A19" s="104" t="s">
        <v>260</v>
      </c>
      <c r="B19" s="201"/>
      <c r="D19" s="105" t="s">
        <v>282</v>
      </c>
      <c r="G19" s="104" t="s">
        <v>258</v>
      </c>
      <c r="H19" s="199"/>
    </row>
    <row r="20" spans="1:8" ht="15.75">
      <c r="A20" s="106" t="s">
        <v>283</v>
      </c>
      <c r="B20" s="201"/>
      <c r="D20" s="104" t="s">
        <v>284</v>
      </c>
      <c r="E20" s="104" t="s">
        <v>285</v>
      </c>
      <c r="G20" s="110"/>
    </row>
    <row r="21" spans="1:8" ht="31.5">
      <c r="A21" s="106" t="s">
        <v>243</v>
      </c>
      <c r="B21" s="201"/>
      <c r="D21" s="106" t="s">
        <v>286</v>
      </c>
      <c r="E21" s="106" t="s">
        <v>287</v>
      </c>
      <c r="G21" s="105" t="s">
        <v>288</v>
      </c>
    </row>
    <row r="22" spans="1:8" ht="31.5">
      <c r="A22" s="106" t="s">
        <v>248</v>
      </c>
      <c r="B22" s="201"/>
      <c r="D22" s="106" t="s">
        <v>243</v>
      </c>
      <c r="E22" s="106" t="s">
        <v>243</v>
      </c>
      <c r="G22" s="104" t="s">
        <v>289</v>
      </c>
      <c r="H22" s="104" t="s">
        <v>290</v>
      </c>
    </row>
    <row r="23" spans="1:8" ht="30.75">
      <c r="A23" s="104" t="s">
        <v>273</v>
      </c>
      <c r="B23" s="201"/>
      <c r="D23" s="104" t="s">
        <v>291</v>
      </c>
      <c r="E23" s="104" t="s">
        <v>292</v>
      </c>
      <c r="G23" s="106" t="s">
        <v>293</v>
      </c>
      <c r="H23" s="106" t="s">
        <v>294</v>
      </c>
    </row>
    <row r="24" spans="1:8" ht="15.75">
      <c r="A24" s="104" t="s">
        <v>295</v>
      </c>
      <c r="B24" s="201"/>
      <c r="D24" s="104" t="s">
        <v>296</v>
      </c>
      <c r="E24" s="104" t="s">
        <v>297</v>
      </c>
      <c r="G24" s="106" t="s">
        <v>298</v>
      </c>
      <c r="H24" s="106" t="s">
        <v>299</v>
      </c>
    </row>
    <row r="25" spans="1:8" ht="30.75">
      <c r="A25" s="104" t="s">
        <v>254</v>
      </c>
      <c r="B25" s="201"/>
      <c r="D25" s="104" t="s">
        <v>254</v>
      </c>
      <c r="E25" s="104" t="s">
        <v>300</v>
      </c>
      <c r="G25" s="104" t="s">
        <v>301</v>
      </c>
      <c r="H25" s="104" t="s">
        <v>301</v>
      </c>
    </row>
    <row r="26" spans="1:8" ht="30.75">
      <c r="A26" s="104" t="s">
        <v>258</v>
      </c>
      <c r="B26" s="201"/>
      <c r="D26" s="104" t="s">
        <v>261</v>
      </c>
      <c r="E26" s="111"/>
      <c r="G26" s="104" t="s">
        <v>254</v>
      </c>
      <c r="H26" s="104" t="s">
        <v>254</v>
      </c>
    </row>
    <row r="27" spans="1:8" ht="46.5">
      <c r="A27" s="101" t="s">
        <v>302</v>
      </c>
      <c r="D27" s="107" t="s">
        <v>285</v>
      </c>
      <c r="E27" s="202"/>
      <c r="G27" s="104" t="s">
        <v>303</v>
      </c>
      <c r="H27" s="104" t="s">
        <v>304</v>
      </c>
    </row>
    <row r="28" spans="1:8" ht="31.5">
      <c r="A28" s="105" t="s">
        <v>305</v>
      </c>
      <c r="D28" s="108" t="s">
        <v>306</v>
      </c>
      <c r="E28" s="202"/>
      <c r="G28" s="107" t="s">
        <v>307</v>
      </c>
      <c r="H28" s="107" t="s">
        <v>290</v>
      </c>
    </row>
    <row r="29" spans="1:8" ht="31.5">
      <c r="A29" s="104" t="s">
        <v>308</v>
      </c>
      <c r="B29" s="104" t="s">
        <v>309</v>
      </c>
      <c r="D29" s="108" t="s">
        <v>243</v>
      </c>
      <c r="E29" s="202"/>
      <c r="G29" s="108" t="s">
        <v>310</v>
      </c>
      <c r="H29" s="108" t="s">
        <v>311</v>
      </c>
    </row>
    <row r="30" spans="1:8" ht="15.75">
      <c r="A30" s="106" t="s">
        <v>312</v>
      </c>
      <c r="B30" s="106" t="s">
        <v>313</v>
      </c>
      <c r="D30" s="107" t="s">
        <v>314</v>
      </c>
      <c r="E30" s="202"/>
      <c r="G30" s="108" t="s">
        <v>243</v>
      </c>
      <c r="H30" s="108" t="s">
        <v>299</v>
      </c>
    </row>
    <row r="31" spans="1:8" ht="15.75">
      <c r="A31" s="106" t="s">
        <v>298</v>
      </c>
      <c r="B31" s="106" t="s">
        <v>243</v>
      </c>
      <c r="D31" s="107" t="s">
        <v>254</v>
      </c>
      <c r="E31" s="202"/>
      <c r="G31" s="107" t="s">
        <v>315</v>
      </c>
      <c r="H31" s="107" t="s">
        <v>316</v>
      </c>
    </row>
    <row r="32" spans="1:8" ht="30.75">
      <c r="A32" s="106" t="s">
        <v>247</v>
      </c>
      <c r="B32" s="104" t="s">
        <v>317</v>
      </c>
      <c r="D32" s="107" t="s">
        <v>261</v>
      </c>
      <c r="E32" s="202"/>
      <c r="G32" s="107" t="s">
        <v>254</v>
      </c>
      <c r="H32" s="107" t="s">
        <v>254</v>
      </c>
    </row>
    <row r="33" spans="1:8" ht="30.75">
      <c r="A33" s="104" t="s">
        <v>318</v>
      </c>
      <c r="B33" s="104" t="s">
        <v>254</v>
      </c>
      <c r="D33" s="105" t="s">
        <v>319</v>
      </c>
      <c r="G33" s="107" t="s">
        <v>258</v>
      </c>
      <c r="H33" s="107" t="s">
        <v>304</v>
      </c>
    </row>
    <row r="34" spans="1:8" ht="31.5">
      <c r="A34" s="104" t="s">
        <v>254</v>
      </c>
      <c r="B34" s="104" t="s">
        <v>258</v>
      </c>
      <c r="D34" s="104" t="s">
        <v>320</v>
      </c>
      <c r="E34" s="104" t="s">
        <v>320</v>
      </c>
      <c r="G34" s="104" t="s">
        <v>321</v>
      </c>
      <c r="H34" s="104" t="s">
        <v>322</v>
      </c>
    </row>
    <row r="35" spans="1:8" ht="15.75">
      <c r="A35" s="104" t="s">
        <v>303</v>
      </c>
      <c r="B35" s="111"/>
      <c r="D35" s="106" t="s">
        <v>323</v>
      </c>
      <c r="E35" s="106" t="s">
        <v>324</v>
      </c>
      <c r="G35" s="106" t="s">
        <v>325</v>
      </c>
      <c r="H35" s="106" t="s">
        <v>326</v>
      </c>
    </row>
    <row r="36" spans="1:8" ht="15.75">
      <c r="A36" s="105" t="s">
        <v>327</v>
      </c>
      <c r="D36" s="106" t="s">
        <v>243</v>
      </c>
      <c r="E36" s="106" t="s">
        <v>243</v>
      </c>
      <c r="G36" s="106" t="s">
        <v>328</v>
      </c>
      <c r="H36" s="106" t="s">
        <v>243</v>
      </c>
    </row>
    <row r="37" spans="1:8" ht="31.5">
      <c r="A37" s="104" t="s">
        <v>329</v>
      </c>
      <c r="B37" s="104" t="s">
        <v>329</v>
      </c>
      <c r="D37" s="104" t="s">
        <v>330</v>
      </c>
      <c r="E37" s="104" t="s">
        <v>331</v>
      </c>
      <c r="G37" s="104" t="s">
        <v>332</v>
      </c>
      <c r="H37" s="104" t="s">
        <v>333</v>
      </c>
    </row>
    <row r="38" spans="1:8" ht="15.75">
      <c r="A38" s="106" t="s">
        <v>334</v>
      </c>
      <c r="B38" s="106" t="s">
        <v>335</v>
      </c>
      <c r="D38" s="104" t="s">
        <v>336</v>
      </c>
      <c r="E38" s="104" t="s">
        <v>254</v>
      </c>
      <c r="G38" s="104" t="s">
        <v>337</v>
      </c>
      <c r="H38" s="104" t="s">
        <v>254</v>
      </c>
    </row>
    <row r="39" spans="1:8" ht="45.75">
      <c r="A39" s="106" t="s">
        <v>243</v>
      </c>
      <c r="B39" s="106" t="s">
        <v>243</v>
      </c>
      <c r="D39" s="104" t="s">
        <v>338</v>
      </c>
      <c r="E39" s="104" t="s">
        <v>261</v>
      </c>
      <c r="G39" s="104" t="s">
        <v>339</v>
      </c>
      <c r="H39" s="104" t="s">
        <v>258</v>
      </c>
    </row>
    <row r="40" spans="1:8" ht="31.5">
      <c r="A40" s="106" t="s">
        <v>340</v>
      </c>
      <c r="B40" s="106" t="s">
        <v>340</v>
      </c>
      <c r="D40" s="107" t="s">
        <v>320</v>
      </c>
      <c r="E40" s="107" t="s">
        <v>341</v>
      </c>
      <c r="G40" s="107" t="s">
        <v>342</v>
      </c>
      <c r="H40" s="107" t="s">
        <v>343</v>
      </c>
    </row>
    <row r="41" spans="1:8" ht="15.75">
      <c r="A41" s="104" t="s">
        <v>344</v>
      </c>
      <c r="B41" s="104" t="s">
        <v>345</v>
      </c>
      <c r="D41" s="108" t="s">
        <v>346</v>
      </c>
      <c r="E41" s="108" t="s">
        <v>347</v>
      </c>
      <c r="G41" s="108" t="s">
        <v>348</v>
      </c>
      <c r="H41" s="108" t="s">
        <v>349</v>
      </c>
    </row>
    <row r="42" spans="1:8" ht="15.75">
      <c r="A42" s="104" t="s">
        <v>254</v>
      </c>
      <c r="B42" s="104" t="s">
        <v>254</v>
      </c>
      <c r="D42" s="108" t="s">
        <v>243</v>
      </c>
      <c r="E42" s="108" t="s">
        <v>243</v>
      </c>
      <c r="G42" s="108" t="s">
        <v>243</v>
      </c>
      <c r="H42" s="108" t="s">
        <v>243</v>
      </c>
    </row>
    <row r="43" spans="1:8" ht="30.75">
      <c r="A43" s="104" t="s">
        <v>258</v>
      </c>
      <c r="B43" s="104" t="s">
        <v>258</v>
      </c>
      <c r="D43" s="107" t="s">
        <v>350</v>
      </c>
      <c r="E43" s="107" t="s">
        <v>351</v>
      </c>
      <c r="G43" s="107" t="s">
        <v>352</v>
      </c>
      <c r="H43" s="107" t="s">
        <v>353</v>
      </c>
    </row>
    <row r="44" spans="1:8" ht="31.5">
      <c r="A44" s="107" t="s">
        <v>329</v>
      </c>
      <c r="B44" s="107" t="s">
        <v>329</v>
      </c>
      <c r="D44" s="107" t="s">
        <v>254</v>
      </c>
      <c r="E44" s="107" t="s">
        <v>254</v>
      </c>
      <c r="G44" s="107" t="s">
        <v>354</v>
      </c>
      <c r="H44" s="107" t="s">
        <v>355</v>
      </c>
    </row>
    <row r="45" spans="1:8" ht="60.75">
      <c r="A45" s="108" t="s">
        <v>356</v>
      </c>
      <c r="B45" s="108" t="s">
        <v>357</v>
      </c>
      <c r="D45" s="107" t="s">
        <v>261</v>
      </c>
      <c r="E45" s="107" t="s">
        <v>261</v>
      </c>
      <c r="G45" s="107" t="s">
        <v>358</v>
      </c>
      <c r="H45" s="107" t="s">
        <v>359</v>
      </c>
    </row>
    <row r="46" spans="1:8" ht="45.75">
      <c r="A46" s="108" t="s">
        <v>243</v>
      </c>
      <c r="B46" s="108" t="s">
        <v>243</v>
      </c>
      <c r="D46" s="104" t="s">
        <v>360</v>
      </c>
      <c r="E46" s="199"/>
      <c r="G46" s="107" t="s">
        <v>361</v>
      </c>
      <c r="H46" s="109"/>
    </row>
    <row r="47" spans="1:8" ht="15.75">
      <c r="A47" s="108" t="s">
        <v>340</v>
      </c>
      <c r="B47" s="108" t="s">
        <v>340</v>
      </c>
      <c r="D47" s="106" t="s">
        <v>362</v>
      </c>
      <c r="E47" s="199"/>
      <c r="G47" s="104" t="s">
        <v>363</v>
      </c>
      <c r="H47" s="104" t="s">
        <v>364</v>
      </c>
    </row>
    <row r="48" spans="1:8" ht="15.75">
      <c r="A48" s="107" t="s">
        <v>365</v>
      </c>
      <c r="B48" s="107" t="s">
        <v>366</v>
      </c>
      <c r="D48" s="106" t="s">
        <v>243</v>
      </c>
      <c r="E48" s="199"/>
      <c r="G48" s="106" t="s">
        <v>367</v>
      </c>
      <c r="H48" s="106" t="s">
        <v>368</v>
      </c>
    </row>
    <row r="49" spans="1:8" ht="60.75">
      <c r="A49" s="107" t="s">
        <v>369</v>
      </c>
      <c r="B49" s="107" t="s">
        <v>370</v>
      </c>
      <c r="D49" s="104" t="s">
        <v>371</v>
      </c>
      <c r="E49" s="199"/>
      <c r="G49" s="106" t="s">
        <v>372</v>
      </c>
      <c r="H49" s="106" t="s">
        <v>243</v>
      </c>
    </row>
    <row r="50" spans="1:8" ht="30.75">
      <c r="A50" s="107" t="s">
        <v>373</v>
      </c>
      <c r="B50" s="107" t="s">
        <v>280</v>
      </c>
      <c r="D50" s="104" t="s">
        <v>374</v>
      </c>
      <c r="E50" s="199"/>
      <c r="G50" s="106" t="s">
        <v>375</v>
      </c>
      <c r="H50" s="104" t="s">
        <v>376</v>
      </c>
    </row>
    <row r="51" spans="1:8" ht="15.75">
      <c r="A51" s="104" t="s">
        <v>377</v>
      </c>
      <c r="B51" s="199"/>
      <c r="D51" s="104" t="s">
        <v>254</v>
      </c>
      <c r="E51" s="199"/>
      <c r="G51" s="106" t="s">
        <v>378</v>
      </c>
      <c r="H51" s="104" t="s">
        <v>379</v>
      </c>
    </row>
    <row r="52" spans="1:8" ht="30.75">
      <c r="A52" s="106" t="s">
        <v>380</v>
      </c>
      <c r="B52" s="199"/>
      <c r="D52" s="104" t="s">
        <v>261</v>
      </c>
      <c r="E52" s="199"/>
      <c r="G52" s="106" t="s">
        <v>243</v>
      </c>
      <c r="H52" s="104" t="s">
        <v>254</v>
      </c>
    </row>
    <row r="53" spans="1:8" ht="31.5">
      <c r="A53" s="106" t="s">
        <v>243</v>
      </c>
      <c r="B53" s="199"/>
      <c r="D53" s="105" t="s">
        <v>381</v>
      </c>
      <c r="G53" s="104" t="s">
        <v>382</v>
      </c>
      <c r="H53" s="104" t="s">
        <v>258</v>
      </c>
    </row>
    <row r="54" spans="1:8" ht="15.75">
      <c r="A54" s="106" t="s">
        <v>383</v>
      </c>
      <c r="B54" s="199"/>
      <c r="D54" s="104" t="s">
        <v>384</v>
      </c>
      <c r="E54" s="104" t="s">
        <v>385</v>
      </c>
      <c r="G54" s="104" t="s">
        <v>254</v>
      </c>
      <c r="H54" s="111"/>
    </row>
    <row r="55" spans="1:8" ht="15.75">
      <c r="A55" s="106" t="s">
        <v>386</v>
      </c>
      <c r="B55" s="199"/>
      <c r="D55" s="106" t="s">
        <v>387</v>
      </c>
      <c r="E55" s="106" t="s">
        <v>388</v>
      </c>
      <c r="G55" s="104" t="s">
        <v>258</v>
      </c>
      <c r="H55" s="111"/>
    </row>
    <row r="56" spans="1:8" ht="15.75">
      <c r="A56" s="104" t="s">
        <v>389</v>
      </c>
      <c r="B56" s="199"/>
      <c r="D56" s="106" t="s">
        <v>243</v>
      </c>
      <c r="E56" s="106" t="s">
        <v>243</v>
      </c>
      <c r="G56" s="105" t="s">
        <v>390</v>
      </c>
    </row>
    <row r="57" spans="1:8" ht="15.75">
      <c r="A57" s="104" t="s">
        <v>391</v>
      </c>
      <c r="B57" s="199"/>
      <c r="D57" s="106" t="s">
        <v>392</v>
      </c>
      <c r="E57" s="106" t="s">
        <v>392</v>
      </c>
      <c r="G57" s="104" t="s">
        <v>393</v>
      </c>
      <c r="H57" s="199"/>
    </row>
    <row r="58" spans="1:8" ht="15.75">
      <c r="A58" s="104" t="s">
        <v>254</v>
      </c>
      <c r="B58" s="199"/>
      <c r="D58" s="104" t="s">
        <v>394</v>
      </c>
      <c r="E58" s="104" t="s">
        <v>395</v>
      </c>
      <c r="G58" s="106" t="s">
        <v>396</v>
      </c>
      <c r="H58" s="199"/>
    </row>
    <row r="59" spans="1:8" ht="15.75">
      <c r="A59" s="104" t="s">
        <v>258</v>
      </c>
      <c r="B59" s="199"/>
      <c r="D59" s="104" t="s">
        <v>254</v>
      </c>
      <c r="E59" s="104" t="s">
        <v>254</v>
      </c>
      <c r="G59" s="106" t="s">
        <v>243</v>
      </c>
      <c r="H59" s="199"/>
    </row>
    <row r="60" spans="1:8" ht="30.75">
      <c r="A60" s="105" t="s">
        <v>397</v>
      </c>
      <c r="D60" s="104" t="s">
        <v>258</v>
      </c>
      <c r="E60" s="104" t="s">
        <v>258</v>
      </c>
      <c r="G60" s="104" t="s">
        <v>398</v>
      </c>
      <c r="H60" s="199"/>
    </row>
    <row r="61" spans="1:8" ht="46.5">
      <c r="A61" s="104" t="s">
        <v>399</v>
      </c>
      <c r="B61" s="199"/>
      <c r="D61" s="101" t="s">
        <v>400</v>
      </c>
      <c r="G61" s="104" t="s">
        <v>254</v>
      </c>
      <c r="H61" s="199"/>
    </row>
    <row r="62" spans="1:8" ht="15.75">
      <c r="A62" s="106" t="s">
        <v>401</v>
      </c>
      <c r="B62" s="199"/>
      <c r="G62" s="104" t="s">
        <v>402</v>
      </c>
      <c r="H62" s="199"/>
    </row>
    <row r="63" spans="1:8" ht="46.5">
      <c r="A63" s="106" t="s">
        <v>298</v>
      </c>
      <c r="B63" s="199"/>
      <c r="G63" s="101" t="s">
        <v>403</v>
      </c>
    </row>
    <row r="64" spans="1:8" ht="15.75">
      <c r="A64" s="106" t="s">
        <v>404</v>
      </c>
      <c r="B64" s="199"/>
      <c r="G64" s="105" t="s">
        <v>405</v>
      </c>
    </row>
    <row r="65" spans="1:8" ht="15.75">
      <c r="A65" s="106" t="s">
        <v>386</v>
      </c>
      <c r="B65" s="199"/>
      <c r="G65" s="104" t="s">
        <v>406</v>
      </c>
      <c r="H65" s="199"/>
    </row>
    <row r="66" spans="1:8" ht="15.75">
      <c r="A66" s="104" t="s">
        <v>407</v>
      </c>
      <c r="B66" s="199"/>
      <c r="G66" s="106" t="s">
        <v>408</v>
      </c>
      <c r="H66" s="199"/>
    </row>
    <row r="67" spans="1:8" ht="15.75">
      <c r="A67" s="104" t="s">
        <v>254</v>
      </c>
      <c r="B67" s="199"/>
      <c r="G67" s="106" t="s">
        <v>243</v>
      </c>
      <c r="H67" s="199"/>
    </row>
    <row r="68" spans="1:8" ht="15.75">
      <c r="A68" s="104" t="s">
        <v>303</v>
      </c>
      <c r="B68" s="199"/>
      <c r="G68" s="106" t="s">
        <v>409</v>
      </c>
      <c r="H68" s="199"/>
    </row>
    <row r="69" spans="1:8" ht="46.5">
      <c r="A69" s="101" t="s">
        <v>410</v>
      </c>
      <c r="G69" s="104" t="s">
        <v>411</v>
      </c>
      <c r="H69" s="199"/>
    </row>
    <row r="70" spans="1:8" ht="15.75">
      <c r="G70" s="104" t="s">
        <v>412</v>
      </c>
      <c r="H70" s="199"/>
    </row>
    <row r="71" spans="1:8" ht="15.75">
      <c r="G71" s="104" t="s">
        <v>254</v>
      </c>
      <c r="H71" s="199"/>
    </row>
    <row r="72" spans="1:8" ht="15.75">
      <c r="G72" s="104" t="s">
        <v>402</v>
      </c>
      <c r="H72" s="199"/>
    </row>
    <row r="73" spans="1:8" ht="15.75">
      <c r="G73" s="105" t="s">
        <v>413</v>
      </c>
    </row>
    <row r="74" spans="1:8" ht="15.75">
      <c r="G74" s="104" t="s">
        <v>414</v>
      </c>
      <c r="H74" s="199"/>
    </row>
    <row r="75" spans="1:8">
      <c r="G75" s="106" t="s">
        <v>415</v>
      </c>
      <c r="H75" s="199"/>
    </row>
    <row r="76" spans="1:8">
      <c r="G76" s="106" t="s">
        <v>243</v>
      </c>
      <c r="H76" s="199"/>
    </row>
    <row r="77" spans="1:8">
      <c r="G77" s="106" t="s">
        <v>409</v>
      </c>
      <c r="H77" s="199"/>
    </row>
    <row r="78" spans="1:8" ht="15.75">
      <c r="G78" s="104" t="s">
        <v>411</v>
      </c>
      <c r="H78" s="199"/>
    </row>
    <row r="79" spans="1:8" ht="15.75">
      <c r="G79" s="104" t="s">
        <v>416</v>
      </c>
      <c r="H79" s="199"/>
    </row>
    <row r="80" spans="1:8" ht="15.75">
      <c r="G80" s="104" t="s">
        <v>254</v>
      </c>
      <c r="H80" s="199"/>
    </row>
    <row r="81" spans="7:8" ht="15.75">
      <c r="G81" s="104" t="s">
        <v>402</v>
      </c>
      <c r="H81" s="199"/>
    </row>
    <row r="82" spans="7:8" ht="15.75">
      <c r="G82" s="105" t="s">
        <v>417</v>
      </c>
    </row>
    <row r="83" spans="7:8" ht="15.75">
      <c r="G83" s="104" t="s">
        <v>418</v>
      </c>
      <c r="H83" s="199"/>
    </row>
    <row r="84" spans="7:8">
      <c r="G84" s="106" t="s">
        <v>419</v>
      </c>
      <c r="H84" s="199"/>
    </row>
    <row r="85" spans="7:8">
      <c r="G85" s="106" t="s">
        <v>243</v>
      </c>
      <c r="H85" s="199"/>
    </row>
    <row r="86" spans="7:8" ht="15.75">
      <c r="G86" s="104" t="s">
        <v>420</v>
      </c>
      <c r="H86" s="199"/>
    </row>
    <row r="87" spans="7:8" ht="15.75">
      <c r="G87" s="104" t="s">
        <v>421</v>
      </c>
      <c r="H87" s="199"/>
    </row>
    <row r="88" spans="7:8" ht="15.75">
      <c r="G88" s="104" t="s">
        <v>254</v>
      </c>
      <c r="H88" s="199"/>
    </row>
    <row r="89" spans="7:8" ht="15.75">
      <c r="G89" s="104" t="s">
        <v>402</v>
      </c>
      <c r="H89" s="199"/>
    </row>
    <row r="90" spans="7:8" ht="15.75">
      <c r="G90" s="105" t="s">
        <v>422</v>
      </c>
    </row>
    <row r="91" spans="7:8" ht="15.75">
      <c r="G91" s="104" t="s">
        <v>423</v>
      </c>
      <c r="H91" s="199"/>
    </row>
    <row r="92" spans="7:8">
      <c r="G92" s="106" t="s">
        <v>424</v>
      </c>
      <c r="H92" s="199"/>
    </row>
    <row r="93" spans="7:8">
      <c r="G93" s="106" t="s">
        <v>243</v>
      </c>
      <c r="H93" s="199"/>
    </row>
    <row r="94" spans="7:8" ht="30.75">
      <c r="G94" s="104" t="s">
        <v>425</v>
      </c>
      <c r="H94" s="199"/>
    </row>
    <row r="95" spans="7:8" ht="15.75">
      <c r="G95" s="104" t="s">
        <v>426</v>
      </c>
      <c r="H95" s="199"/>
    </row>
    <row r="96" spans="7:8" ht="15.75">
      <c r="G96" s="104" t="s">
        <v>254</v>
      </c>
      <c r="H96" s="199"/>
    </row>
    <row r="97" spans="7:8" ht="15.75">
      <c r="G97" s="104" t="s">
        <v>402</v>
      </c>
      <c r="H97" s="199"/>
    </row>
    <row r="98" spans="7:8" ht="15.75">
      <c r="G98" s="105" t="s">
        <v>427</v>
      </c>
    </row>
    <row r="99" spans="7:8" ht="15.75">
      <c r="G99" s="104" t="s">
        <v>428</v>
      </c>
      <c r="H99" s="199"/>
    </row>
    <row r="100" spans="7:8">
      <c r="G100" s="106" t="s">
        <v>429</v>
      </c>
      <c r="H100" s="199"/>
    </row>
    <row r="101" spans="7:8">
      <c r="G101" s="106" t="s">
        <v>430</v>
      </c>
      <c r="H101" s="199"/>
    </row>
    <row r="102" spans="7:8">
      <c r="G102" s="106" t="s">
        <v>243</v>
      </c>
      <c r="H102" s="199"/>
    </row>
    <row r="103" spans="7:8">
      <c r="G103" s="106" t="s">
        <v>383</v>
      </c>
      <c r="H103" s="199"/>
    </row>
    <row r="104" spans="7:8">
      <c r="G104" s="106" t="s">
        <v>386</v>
      </c>
      <c r="H104" s="199"/>
    </row>
    <row r="105" spans="7:8" ht="15.75">
      <c r="G105" s="104" t="s">
        <v>431</v>
      </c>
      <c r="H105" s="199"/>
    </row>
    <row r="106" spans="7:8" ht="15.75">
      <c r="G106" s="104" t="s">
        <v>254</v>
      </c>
      <c r="H106" s="199"/>
    </row>
    <row r="107" spans="7:8" ht="15.75">
      <c r="G107" s="104" t="s">
        <v>402</v>
      </c>
      <c r="H107" s="199"/>
    </row>
    <row r="108" spans="7:8" ht="15.75">
      <c r="G108" s="105" t="s">
        <v>432</v>
      </c>
    </row>
    <row r="109" spans="7:8" ht="15.75">
      <c r="G109" s="104" t="s">
        <v>433</v>
      </c>
      <c r="H109" s="199"/>
    </row>
    <row r="110" spans="7:8">
      <c r="G110" s="106" t="s">
        <v>434</v>
      </c>
      <c r="H110" s="199"/>
    </row>
    <row r="111" spans="7:8">
      <c r="G111" s="106" t="s">
        <v>243</v>
      </c>
      <c r="H111" s="199"/>
    </row>
    <row r="112" spans="7:8">
      <c r="G112" s="106" t="s">
        <v>269</v>
      </c>
      <c r="H112" s="199"/>
    </row>
    <row r="113" spans="7:8" ht="15.75">
      <c r="G113" s="104" t="s">
        <v>435</v>
      </c>
      <c r="H113" s="199"/>
    </row>
    <row r="114" spans="7:8" ht="15.75">
      <c r="G114" s="104" t="s">
        <v>254</v>
      </c>
      <c r="H114" s="199"/>
    </row>
    <row r="115" spans="7:8" ht="15.75">
      <c r="G115" s="104" t="s">
        <v>402</v>
      </c>
      <c r="H115" s="199"/>
    </row>
    <row r="116" spans="7:8" ht="15.75">
      <c r="G116" s="105" t="s">
        <v>436</v>
      </c>
    </row>
    <row r="117" spans="7:8" ht="15.75">
      <c r="G117" s="104" t="s">
        <v>437</v>
      </c>
      <c r="H117" s="199"/>
    </row>
    <row r="118" spans="7:8">
      <c r="G118" s="106" t="s">
        <v>438</v>
      </c>
      <c r="H118" s="199"/>
    </row>
    <row r="119" spans="7:8">
      <c r="G119" s="106" t="s">
        <v>243</v>
      </c>
      <c r="H119" s="199"/>
    </row>
    <row r="120" spans="7:8" ht="15.75">
      <c r="G120" s="104" t="s">
        <v>439</v>
      </c>
      <c r="H120" s="199"/>
    </row>
    <row r="121" spans="7:8" ht="15.75">
      <c r="G121" s="104" t="s">
        <v>440</v>
      </c>
      <c r="H121" s="199"/>
    </row>
    <row r="122" spans="7:8" ht="15.75">
      <c r="G122" s="104" t="s">
        <v>254</v>
      </c>
      <c r="H122" s="199"/>
    </row>
    <row r="123" spans="7:8" ht="15.75">
      <c r="G123" s="104" t="s">
        <v>402</v>
      </c>
      <c r="H123" s="199"/>
    </row>
    <row r="124" spans="7:8" ht="15.75">
      <c r="G124" s="105" t="s">
        <v>441</v>
      </c>
    </row>
    <row r="125" spans="7:8" ht="15.75">
      <c r="G125" s="104" t="s">
        <v>442</v>
      </c>
    </row>
    <row r="126" spans="7:8">
      <c r="G126" s="106" t="s">
        <v>443</v>
      </c>
    </row>
    <row r="127" spans="7:8">
      <c r="G127" s="106" t="s">
        <v>243</v>
      </c>
    </row>
    <row r="128" spans="7:8">
      <c r="G128" s="106" t="s">
        <v>444</v>
      </c>
    </row>
    <row r="129" spans="7:7">
      <c r="G129" s="106" t="s">
        <v>386</v>
      </c>
    </row>
    <row r="130" spans="7:7" ht="15.75">
      <c r="G130" s="104" t="s">
        <v>445</v>
      </c>
    </row>
    <row r="131" spans="7:7" ht="15.75">
      <c r="G131" s="104" t="s">
        <v>446</v>
      </c>
    </row>
    <row r="132" spans="7:7" ht="15.75">
      <c r="G132" s="104" t="s">
        <v>254</v>
      </c>
    </row>
    <row r="133" spans="7:7" ht="15.75">
      <c r="G133" s="104" t="s">
        <v>402</v>
      </c>
    </row>
  </sheetData>
  <mergeCells count="16">
    <mergeCell ref="H117:H123"/>
    <mergeCell ref="D3:E3"/>
    <mergeCell ref="E13:E18"/>
    <mergeCell ref="H13:H19"/>
    <mergeCell ref="B19:B26"/>
    <mergeCell ref="E27:E32"/>
    <mergeCell ref="E46:E52"/>
    <mergeCell ref="B51:B59"/>
    <mergeCell ref="H57:H62"/>
    <mergeCell ref="B61:B68"/>
    <mergeCell ref="H65:H72"/>
    <mergeCell ref="H74:H81"/>
    <mergeCell ref="H83:H89"/>
    <mergeCell ref="H91:H97"/>
    <mergeCell ref="H99:H107"/>
    <mergeCell ref="H109:H1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1"/>
  <sheetViews>
    <sheetView topLeftCell="E37" workbookViewId="0">
      <selection activeCell="A131" sqref="A131:B147"/>
    </sheetView>
  </sheetViews>
  <sheetFormatPr defaultRowHeight="15"/>
  <cols>
    <col min="1" max="1" width="31.28515625" bestFit="1" customWidth="1"/>
    <col min="2" max="2" width="34.42578125" customWidth="1"/>
    <col min="5" max="5" width="66.85546875" customWidth="1"/>
    <col min="6" max="6" width="52.85546875" customWidth="1"/>
  </cols>
  <sheetData>
    <row r="1" spans="1:6" ht="101.25">
      <c r="A1" s="121" t="s">
        <v>572</v>
      </c>
    </row>
    <row r="2" spans="1:6">
      <c r="A2" s="110"/>
    </row>
    <row r="3" spans="1:6" ht="135">
      <c r="A3" s="118" t="s">
        <v>231</v>
      </c>
      <c r="E3" s="110" t="s">
        <v>472</v>
      </c>
    </row>
    <row r="4" spans="1:6" ht="30">
      <c r="A4" s="103" t="s">
        <v>232</v>
      </c>
      <c r="E4" s="110"/>
    </row>
    <row r="5" spans="1:6" ht="150">
      <c r="A5" s="110"/>
      <c r="E5" s="110" t="s">
        <v>473</v>
      </c>
    </row>
    <row r="6" spans="1:6" ht="15.75">
      <c r="A6" s="114" t="s">
        <v>234</v>
      </c>
      <c r="B6" s="114" t="s">
        <v>235</v>
      </c>
      <c r="E6" s="110"/>
    </row>
    <row r="7" spans="1:6" ht="105">
      <c r="A7" s="115" t="s">
        <v>452</v>
      </c>
      <c r="B7" s="115" t="s">
        <v>453</v>
      </c>
      <c r="E7" s="110" t="s">
        <v>474</v>
      </c>
    </row>
    <row r="8" spans="1:6">
      <c r="A8" s="115" t="s">
        <v>243</v>
      </c>
      <c r="B8" s="115" t="s">
        <v>243</v>
      </c>
      <c r="E8" s="110"/>
    </row>
    <row r="9" spans="1:6" ht="15.75">
      <c r="A9" s="115" t="s">
        <v>247</v>
      </c>
      <c r="B9" s="115" t="s">
        <v>247</v>
      </c>
      <c r="E9" s="105" t="s">
        <v>236</v>
      </c>
    </row>
    <row r="10" spans="1:6" ht="15.75">
      <c r="A10" s="114" t="s">
        <v>249</v>
      </c>
      <c r="B10" s="114" t="s">
        <v>250</v>
      </c>
      <c r="E10" s="114" t="s">
        <v>240</v>
      </c>
      <c r="F10" s="114" t="s">
        <v>241</v>
      </c>
    </row>
    <row r="11" spans="1:6" ht="15.75">
      <c r="A11" s="114" t="s">
        <v>254</v>
      </c>
      <c r="B11" s="114" t="s">
        <v>254</v>
      </c>
      <c r="E11" s="115" t="s">
        <v>475</v>
      </c>
      <c r="F11" s="115" t="s">
        <v>477</v>
      </c>
    </row>
    <row r="12" spans="1:6" ht="45.75">
      <c r="A12" s="114" t="s">
        <v>258</v>
      </c>
      <c r="B12" s="114" t="s">
        <v>258</v>
      </c>
      <c r="E12" s="115" t="s">
        <v>243</v>
      </c>
      <c r="F12" s="115" t="s">
        <v>243</v>
      </c>
    </row>
    <row r="13" spans="1:6" ht="30.75">
      <c r="A13" s="116" t="s">
        <v>129</v>
      </c>
      <c r="B13" s="116" t="s">
        <v>131</v>
      </c>
      <c r="E13" s="114" t="s">
        <v>251</v>
      </c>
      <c r="F13" s="114" t="s">
        <v>252</v>
      </c>
    </row>
    <row r="14" spans="1:6" ht="30">
      <c r="A14" s="117" t="s">
        <v>454</v>
      </c>
      <c r="B14" s="117" t="s">
        <v>456</v>
      </c>
      <c r="E14" s="114" t="s">
        <v>476</v>
      </c>
      <c r="F14" s="114" t="s">
        <v>256</v>
      </c>
    </row>
    <row r="15" spans="1:6" ht="15.75">
      <c r="A15" s="117" t="s">
        <v>243</v>
      </c>
      <c r="B15" s="117" t="s">
        <v>243</v>
      </c>
      <c r="E15" s="114" t="s">
        <v>254</v>
      </c>
      <c r="F15" s="114" t="s">
        <v>259</v>
      </c>
    </row>
    <row r="16" spans="1:6" ht="30.75">
      <c r="A16" s="117" t="s">
        <v>269</v>
      </c>
      <c r="B16" s="117" t="s">
        <v>269</v>
      </c>
      <c r="E16" s="114" t="s">
        <v>261</v>
      </c>
      <c r="F16" s="114" t="s">
        <v>478</v>
      </c>
    </row>
    <row r="17" spans="1:6" ht="30.75">
      <c r="A17" s="116" t="s">
        <v>455</v>
      </c>
      <c r="B17" s="116" t="s">
        <v>457</v>
      </c>
      <c r="E17" s="110"/>
    </row>
    <row r="18" spans="1:6" ht="31.5">
      <c r="A18" s="116" t="s">
        <v>254</v>
      </c>
      <c r="B18" s="116" t="s">
        <v>254</v>
      </c>
      <c r="E18" s="105" t="s">
        <v>282</v>
      </c>
    </row>
    <row r="19" spans="1:6" ht="45.75">
      <c r="A19" s="116" t="s">
        <v>258</v>
      </c>
      <c r="B19" s="116" t="s">
        <v>258</v>
      </c>
      <c r="E19" s="122" t="s">
        <v>479</v>
      </c>
      <c r="F19" s="204"/>
    </row>
    <row r="20" spans="1:6" ht="15.75">
      <c r="A20" s="114" t="s">
        <v>260</v>
      </c>
      <c r="B20" s="114" t="s">
        <v>260</v>
      </c>
      <c r="E20" s="123" t="s">
        <v>480</v>
      </c>
      <c r="F20" s="204"/>
    </row>
    <row r="21" spans="1:6" ht="30">
      <c r="A21" s="115" t="s">
        <v>458</v>
      </c>
      <c r="B21" s="115" t="s">
        <v>459</v>
      </c>
      <c r="E21" s="123" t="s">
        <v>243</v>
      </c>
      <c r="F21" s="204"/>
    </row>
    <row r="22" spans="1:6" ht="15.75">
      <c r="A22" s="115" t="s">
        <v>243</v>
      </c>
      <c r="B22" s="115" t="s">
        <v>243</v>
      </c>
      <c r="E22" s="122" t="s">
        <v>573</v>
      </c>
      <c r="F22" s="204"/>
    </row>
    <row r="23" spans="1:6" ht="15.75">
      <c r="A23" s="115" t="s">
        <v>248</v>
      </c>
      <c r="B23" s="115" t="s">
        <v>248</v>
      </c>
      <c r="E23" s="122" t="s">
        <v>574</v>
      </c>
      <c r="F23" s="204"/>
    </row>
    <row r="24" spans="1:6" ht="60.75">
      <c r="A24" s="114" t="s">
        <v>273</v>
      </c>
      <c r="B24" s="114" t="s">
        <v>273</v>
      </c>
      <c r="E24" s="122" t="s">
        <v>575</v>
      </c>
      <c r="F24" s="204"/>
    </row>
    <row r="25" spans="1:6" ht="30.75">
      <c r="A25" s="114" t="s">
        <v>274</v>
      </c>
      <c r="B25" s="114" t="s">
        <v>460</v>
      </c>
      <c r="E25" s="110"/>
    </row>
    <row r="26" spans="1:6" ht="15.75">
      <c r="A26" s="114" t="s">
        <v>277</v>
      </c>
      <c r="B26" s="114" t="s">
        <v>254</v>
      </c>
      <c r="E26" s="105" t="s">
        <v>319</v>
      </c>
    </row>
    <row r="27" spans="1:6" ht="30.75">
      <c r="A27" s="114" t="s">
        <v>373</v>
      </c>
      <c r="B27" s="114" t="s">
        <v>258</v>
      </c>
      <c r="E27" s="122" t="s">
        <v>320</v>
      </c>
      <c r="F27" s="114" t="s">
        <v>320</v>
      </c>
    </row>
    <row r="28" spans="1:6">
      <c r="A28" s="110"/>
      <c r="E28" s="123" t="s">
        <v>481</v>
      </c>
      <c r="F28" s="115" t="s">
        <v>482</v>
      </c>
    </row>
    <row r="29" spans="1:6" ht="93">
      <c r="A29" s="118" t="s">
        <v>302</v>
      </c>
      <c r="E29" s="123" t="s">
        <v>243</v>
      </c>
      <c r="F29" s="115" t="s">
        <v>243</v>
      </c>
    </row>
    <row r="30" spans="1:6" ht="15.75">
      <c r="A30" s="110"/>
      <c r="E30" s="122" t="s">
        <v>576</v>
      </c>
      <c r="F30" s="114" t="s">
        <v>350</v>
      </c>
    </row>
    <row r="31" spans="1:6" ht="15.75">
      <c r="A31" s="105" t="s">
        <v>305</v>
      </c>
      <c r="E31" s="122" t="s">
        <v>577</v>
      </c>
      <c r="F31" s="114" t="s">
        <v>254</v>
      </c>
    </row>
    <row r="32" spans="1:6" ht="30.75">
      <c r="A32" s="114" t="s">
        <v>461</v>
      </c>
      <c r="B32" s="203"/>
      <c r="E32" s="122" t="s">
        <v>578</v>
      </c>
      <c r="F32" s="114" t="s">
        <v>261</v>
      </c>
    </row>
    <row r="33" spans="1:6" ht="30">
      <c r="A33" s="115" t="s">
        <v>462</v>
      </c>
      <c r="B33" s="203"/>
      <c r="E33" s="116" t="s">
        <v>320</v>
      </c>
      <c r="F33" s="116" t="s">
        <v>320</v>
      </c>
    </row>
    <row r="34" spans="1:6">
      <c r="A34" s="115" t="s">
        <v>243</v>
      </c>
      <c r="B34" s="203"/>
      <c r="E34" s="117" t="s">
        <v>483</v>
      </c>
      <c r="F34" s="117" t="s">
        <v>485</v>
      </c>
    </row>
    <row r="35" spans="1:6" ht="15.75">
      <c r="A35" s="114" t="s">
        <v>463</v>
      </c>
      <c r="B35" s="203"/>
      <c r="E35" s="117" t="s">
        <v>243</v>
      </c>
      <c r="F35" s="117" t="s">
        <v>243</v>
      </c>
    </row>
    <row r="36" spans="1:6" ht="15.75">
      <c r="A36" s="114" t="s">
        <v>254</v>
      </c>
      <c r="B36" s="203"/>
      <c r="E36" s="116" t="s">
        <v>484</v>
      </c>
      <c r="F36" s="116" t="s">
        <v>331</v>
      </c>
    </row>
    <row r="37" spans="1:6" ht="45.75">
      <c r="A37" s="114" t="s">
        <v>258</v>
      </c>
      <c r="B37" s="203"/>
      <c r="E37" s="116" t="s">
        <v>254</v>
      </c>
      <c r="F37" s="116" t="s">
        <v>254</v>
      </c>
    </row>
    <row r="38" spans="1:6" ht="30.75">
      <c r="A38" s="110"/>
      <c r="E38" s="116" t="s">
        <v>261</v>
      </c>
      <c r="F38" s="116" t="s">
        <v>261</v>
      </c>
    </row>
    <row r="39" spans="1:6" ht="15.75">
      <c r="A39" s="105" t="s">
        <v>327</v>
      </c>
      <c r="E39" s="114" t="s">
        <v>360</v>
      </c>
      <c r="F39" s="114" t="s">
        <v>360</v>
      </c>
    </row>
    <row r="40" spans="1:6" ht="31.5">
      <c r="A40" s="114" t="s">
        <v>329</v>
      </c>
      <c r="B40" s="114" t="s">
        <v>329</v>
      </c>
      <c r="E40" s="115" t="s">
        <v>486</v>
      </c>
      <c r="F40" s="115" t="s">
        <v>362</v>
      </c>
    </row>
    <row r="41" spans="1:6" ht="30">
      <c r="A41" s="115" t="s">
        <v>464</v>
      </c>
      <c r="B41" s="115" t="s">
        <v>465</v>
      </c>
      <c r="E41" s="115" t="s">
        <v>243</v>
      </c>
      <c r="F41" s="115" t="s">
        <v>243</v>
      </c>
    </row>
    <row r="42" spans="1:6" ht="60.75">
      <c r="A42" s="115" t="s">
        <v>243</v>
      </c>
      <c r="B42" s="115" t="s">
        <v>243</v>
      </c>
      <c r="E42" s="114" t="s">
        <v>487</v>
      </c>
      <c r="F42" s="114" t="s">
        <v>371</v>
      </c>
    </row>
    <row r="43" spans="1:6" ht="30.75">
      <c r="A43" s="115" t="s">
        <v>340</v>
      </c>
      <c r="B43" s="115" t="s">
        <v>340</v>
      </c>
      <c r="E43" s="114" t="s">
        <v>488</v>
      </c>
      <c r="F43" s="114" t="s">
        <v>491</v>
      </c>
    </row>
    <row r="44" spans="1:6" ht="15.75">
      <c r="A44" s="114" t="s">
        <v>344</v>
      </c>
      <c r="B44" s="114" t="s">
        <v>345</v>
      </c>
      <c r="E44" s="114" t="s">
        <v>489</v>
      </c>
      <c r="F44" s="114" t="s">
        <v>254</v>
      </c>
    </row>
    <row r="45" spans="1:6" ht="30.75">
      <c r="A45" s="114" t="s">
        <v>254</v>
      </c>
      <c r="B45" s="114" t="s">
        <v>254</v>
      </c>
      <c r="E45" s="114" t="s">
        <v>490</v>
      </c>
      <c r="F45" s="114" t="s">
        <v>261</v>
      </c>
    </row>
    <row r="46" spans="1:6" ht="45.75">
      <c r="A46" s="114" t="s">
        <v>258</v>
      </c>
      <c r="B46" s="114" t="s">
        <v>258</v>
      </c>
      <c r="E46" s="110"/>
    </row>
    <row r="47" spans="1:6" ht="31.5">
      <c r="A47" s="116" t="s">
        <v>329</v>
      </c>
      <c r="B47" s="116" t="s">
        <v>377</v>
      </c>
      <c r="E47" s="105" t="s">
        <v>492</v>
      </c>
    </row>
    <row r="48" spans="1:6" ht="30">
      <c r="A48" s="117" t="s">
        <v>466</v>
      </c>
      <c r="B48" s="117" t="s">
        <v>380</v>
      </c>
      <c r="E48" s="114" t="s">
        <v>493</v>
      </c>
      <c r="F48" s="203"/>
    </row>
    <row r="49" spans="1:6" ht="30">
      <c r="A49" s="117" t="s">
        <v>243</v>
      </c>
      <c r="B49" s="117" t="s">
        <v>469</v>
      </c>
      <c r="E49" s="115" t="s">
        <v>494</v>
      </c>
      <c r="F49" s="203"/>
    </row>
    <row r="50" spans="1:6">
      <c r="A50" s="117" t="s">
        <v>340</v>
      </c>
      <c r="B50" s="117" t="s">
        <v>243</v>
      </c>
      <c r="E50" s="115" t="s">
        <v>243</v>
      </c>
      <c r="F50" s="203"/>
    </row>
    <row r="51" spans="1:6" ht="30">
      <c r="A51" s="116" t="s">
        <v>467</v>
      </c>
      <c r="B51" s="117" t="s">
        <v>470</v>
      </c>
      <c r="E51" s="114" t="s">
        <v>495</v>
      </c>
      <c r="F51" s="203"/>
    </row>
    <row r="52" spans="1:6" ht="15.75">
      <c r="A52" s="116" t="s">
        <v>468</v>
      </c>
      <c r="B52" s="116" t="s">
        <v>389</v>
      </c>
      <c r="E52" s="114" t="s">
        <v>254</v>
      </c>
      <c r="F52" s="203"/>
    </row>
    <row r="53" spans="1:6" ht="30.75">
      <c r="A53" s="116" t="s">
        <v>373</v>
      </c>
      <c r="B53" s="116" t="s">
        <v>391</v>
      </c>
      <c r="E53" s="114" t="s">
        <v>261</v>
      </c>
      <c r="F53" s="203"/>
    </row>
    <row r="54" spans="1:6" ht="15.75">
      <c r="A54" s="119"/>
      <c r="B54" s="116" t="s">
        <v>254</v>
      </c>
      <c r="E54" s="110"/>
    </row>
    <row r="55" spans="1:6" ht="30.75">
      <c r="A55" s="119"/>
      <c r="B55" s="116" t="s">
        <v>258</v>
      </c>
      <c r="E55" s="105" t="s">
        <v>381</v>
      </c>
    </row>
    <row r="56" spans="1:6" ht="15.75">
      <c r="A56" s="110"/>
      <c r="E56" s="114" t="s">
        <v>384</v>
      </c>
      <c r="F56" s="114" t="s">
        <v>385</v>
      </c>
    </row>
    <row r="57" spans="1:6" ht="15.75">
      <c r="A57" s="105" t="s">
        <v>397</v>
      </c>
      <c r="E57" s="115" t="s">
        <v>496</v>
      </c>
      <c r="F57" s="115" t="s">
        <v>497</v>
      </c>
    </row>
    <row r="58" spans="1:6" ht="15.75">
      <c r="A58" s="114" t="s">
        <v>399</v>
      </c>
      <c r="B58" s="203"/>
      <c r="E58" s="115" t="s">
        <v>243</v>
      </c>
      <c r="F58" s="115" t="s">
        <v>243</v>
      </c>
    </row>
    <row r="59" spans="1:6" ht="30">
      <c r="A59" s="115" t="s">
        <v>471</v>
      </c>
      <c r="B59" s="203"/>
      <c r="E59" s="115" t="s">
        <v>392</v>
      </c>
      <c r="F59" s="115" t="s">
        <v>392</v>
      </c>
    </row>
    <row r="60" spans="1:6" ht="15.75">
      <c r="A60" s="115" t="s">
        <v>298</v>
      </c>
      <c r="B60" s="203"/>
      <c r="E60" s="114" t="s">
        <v>394</v>
      </c>
      <c r="F60" s="114" t="s">
        <v>395</v>
      </c>
    </row>
    <row r="61" spans="1:6" ht="30">
      <c r="A61" s="115" t="s">
        <v>404</v>
      </c>
      <c r="B61" s="203"/>
      <c r="E61" s="114" t="s">
        <v>254</v>
      </c>
      <c r="F61" s="114" t="s">
        <v>254</v>
      </c>
    </row>
    <row r="62" spans="1:6" ht="30.75">
      <c r="A62" s="115" t="s">
        <v>386</v>
      </c>
      <c r="B62" s="203"/>
      <c r="E62" s="114" t="s">
        <v>258</v>
      </c>
      <c r="F62" s="114" t="s">
        <v>258</v>
      </c>
    </row>
    <row r="63" spans="1:6" ht="15.75">
      <c r="A63" s="114" t="s">
        <v>407</v>
      </c>
      <c r="B63" s="203"/>
      <c r="E63" s="110"/>
    </row>
    <row r="64" spans="1:6" ht="15.75">
      <c r="A64" s="114" t="s">
        <v>254</v>
      </c>
      <c r="B64" s="203"/>
    </row>
    <row r="65" spans="1:2" ht="45.75">
      <c r="A65" s="114" t="s">
        <v>303</v>
      </c>
      <c r="B65" s="203"/>
    </row>
    <row r="66" spans="1:2">
      <c r="A66" s="110"/>
    </row>
    <row r="67" spans="1:2" ht="69.75">
      <c r="A67" s="118" t="s">
        <v>410</v>
      </c>
    </row>
    <row r="129" spans="1:2" ht="93">
      <c r="A129" s="118" t="s">
        <v>400</v>
      </c>
    </row>
    <row r="130" spans="1:2">
      <c r="A130" s="110"/>
    </row>
    <row r="131" spans="1:2" ht="31.5">
      <c r="A131" s="105" t="s">
        <v>237</v>
      </c>
    </row>
    <row r="132" spans="1:2" ht="47.25">
      <c r="A132" s="114" t="s">
        <v>242</v>
      </c>
      <c r="B132" s="203"/>
    </row>
    <row r="133" spans="1:2" ht="30">
      <c r="A133" s="115" t="s">
        <v>498</v>
      </c>
      <c r="B133" s="203"/>
    </row>
    <row r="134" spans="1:2">
      <c r="A134" s="115" t="s">
        <v>243</v>
      </c>
      <c r="B134" s="203"/>
    </row>
    <row r="135" spans="1:2" ht="30.75">
      <c r="A135" s="114" t="s">
        <v>499</v>
      </c>
      <c r="B135" s="203"/>
    </row>
    <row r="136" spans="1:2" ht="15.75">
      <c r="A136" s="114" t="s">
        <v>257</v>
      </c>
      <c r="B136" s="203"/>
    </row>
    <row r="137" spans="1:2" ht="15.75">
      <c r="A137" s="114" t="s">
        <v>254</v>
      </c>
      <c r="B137" s="203"/>
    </row>
    <row r="138" spans="1:2" ht="45.75">
      <c r="A138" s="114" t="s">
        <v>258</v>
      </c>
      <c r="B138" s="203"/>
    </row>
    <row r="139" spans="1:2">
      <c r="A139" s="110"/>
    </row>
    <row r="140" spans="1:2" ht="63">
      <c r="A140" s="105" t="s">
        <v>288</v>
      </c>
    </row>
    <row r="141" spans="1:2" ht="31.5">
      <c r="A141" s="114" t="s">
        <v>289</v>
      </c>
      <c r="B141" s="114" t="s">
        <v>501</v>
      </c>
    </row>
    <row r="142" spans="1:2" ht="30">
      <c r="A142" s="115" t="s">
        <v>500</v>
      </c>
      <c r="B142" s="115" t="s">
        <v>502</v>
      </c>
    </row>
    <row r="143" spans="1:2">
      <c r="A143" s="115" t="s">
        <v>298</v>
      </c>
      <c r="B143" s="115" t="s">
        <v>243</v>
      </c>
    </row>
    <row r="144" spans="1:2" ht="30.75">
      <c r="A144" s="114" t="s">
        <v>301</v>
      </c>
      <c r="B144" s="114" t="s">
        <v>315</v>
      </c>
    </row>
    <row r="145" spans="1:2" ht="15.75">
      <c r="A145" s="114" t="s">
        <v>254</v>
      </c>
      <c r="B145" s="114" t="s">
        <v>254</v>
      </c>
    </row>
    <row r="146" spans="1:2" ht="45.75">
      <c r="A146" s="114" t="s">
        <v>303</v>
      </c>
      <c r="B146" s="114" t="s">
        <v>258</v>
      </c>
    </row>
    <row r="147" spans="1:2" ht="31.5">
      <c r="A147" s="116" t="s">
        <v>321</v>
      </c>
      <c r="B147" s="116" t="s">
        <v>363</v>
      </c>
    </row>
    <row r="148" spans="1:2" ht="30">
      <c r="A148" s="117" t="s">
        <v>503</v>
      </c>
      <c r="B148" s="117" t="s">
        <v>504</v>
      </c>
    </row>
    <row r="149" spans="1:2" ht="30">
      <c r="A149" s="117" t="s">
        <v>328</v>
      </c>
      <c r="B149" s="117" t="s">
        <v>505</v>
      </c>
    </row>
    <row r="150" spans="1:2" ht="30">
      <c r="A150" s="116" t="s">
        <v>332</v>
      </c>
      <c r="B150" s="117" t="s">
        <v>506</v>
      </c>
    </row>
    <row r="151" spans="1:2" ht="30">
      <c r="A151" s="116" t="s">
        <v>337</v>
      </c>
      <c r="B151" s="117" t="s">
        <v>507</v>
      </c>
    </row>
    <row r="152" spans="1:2" ht="30.75">
      <c r="A152" s="116" t="s">
        <v>339</v>
      </c>
      <c r="B152" s="117" t="s">
        <v>243</v>
      </c>
    </row>
    <row r="153" spans="1:2" ht="15.75">
      <c r="A153" s="119"/>
      <c r="B153" s="116" t="s">
        <v>382</v>
      </c>
    </row>
    <row r="154" spans="1:2" ht="15.75">
      <c r="A154" s="119"/>
      <c r="B154" s="116" t="s">
        <v>254</v>
      </c>
    </row>
    <row r="155" spans="1:2" ht="30.75">
      <c r="A155" s="119"/>
      <c r="B155" s="116" t="s">
        <v>258</v>
      </c>
    </row>
    <row r="156" spans="1:2" ht="31.5">
      <c r="A156" s="114" t="s">
        <v>508</v>
      </c>
      <c r="B156" s="114" t="s">
        <v>512</v>
      </c>
    </row>
    <row r="157" spans="1:2" ht="30">
      <c r="A157" s="115" t="s">
        <v>509</v>
      </c>
      <c r="B157" s="115" t="s">
        <v>348</v>
      </c>
    </row>
    <row r="158" spans="1:2" ht="30">
      <c r="A158" s="115" t="s">
        <v>298</v>
      </c>
      <c r="B158" s="115" t="s">
        <v>513</v>
      </c>
    </row>
    <row r="159" spans="1:2" ht="30.75">
      <c r="A159" s="114" t="s">
        <v>499</v>
      </c>
      <c r="B159" s="115" t="s">
        <v>243</v>
      </c>
    </row>
    <row r="160" spans="1:2" ht="30.75">
      <c r="A160" s="114" t="s">
        <v>353</v>
      </c>
      <c r="B160" s="114" t="s">
        <v>514</v>
      </c>
    </row>
    <row r="161" spans="1:2" ht="30.75">
      <c r="A161" s="114" t="s">
        <v>510</v>
      </c>
      <c r="B161" s="114" t="s">
        <v>354</v>
      </c>
    </row>
    <row r="162" spans="1:2" ht="45.75">
      <c r="A162" s="114" t="s">
        <v>511</v>
      </c>
      <c r="B162" s="114" t="s">
        <v>515</v>
      </c>
    </row>
    <row r="163" spans="1:2" ht="45.75">
      <c r="A163" s="120"/>
      <c r="B163" s="114" t="s">
        <v>516</v>
      </c>
    </row>
    <row r="164" spans="1:2" ht="31.5">
      <c r="A164" s="116" t="s">
        <v>290</v>
      </c>
      <c r="B164" s="116" t="s">
        <v>290</v>
      </c>
    </row>
    <row r="165" spans="1:2" ht="30">
      <c r="A165" s="117" t="s">
        <v>517</v>
      </c>
      <c r="B165" s="117" t="s">
        <v>518</v>
      </c>
    </row>
    <row r="166" spans="1:2">
      <c r="A166" s="117" t="s">
        <v>299</v>
      </c>
      <c r="B166" s="117" t="s">
        <v>299</v>
      </c>
    </row>
    <row r="167" spans="1:2" ht="30.75">
      <c r="A167" s="116" t="s">
        <v>301</v>
      </c>
      <c r="B167" s="116" t="s">
        <v>316</v>
      </c>
    </row>
    <row r="168" spans="1:2" ht="15.75">
      <c r="A168" s="116" t="s">
        <v>254</v>
      </c>
      <c r="B168" s="116" t="s">
        <v>254</v>
      </c>
    </row>
    <row r="169" spans="1:2" ht="45.75">
      <c r="A169" s="116" t="s">
        <v>304</v>
      </c>
      <c r="B169" s="116" t="s">
        <v>304</v>
      </c>
    </row>
    <row r="170" spans="1:2" ht="31.5">
      <c r="A170" s="114" t="s">
        <v>290</v>
      </c>
      <c r="B170" s="114" t="s">
        <v>322</v>
      </c>
    </row>
    <row r="171" spans="1:2" ht="30">
      <c r="A171" s="115" t="s">
        <v>519</v>
      </c>
      <c r="B171" s="115" t="s">
        <v>326</v>
      </c>
    </row>
    <row r="172" spans="1:2" ht="30">
      <c r="A172" s="115" t="s">
        <v>299</v>
      </c>
      <c r="B172" s="115" t="s">
        <v>520</v>
      </c>
    </row>
    <row r="173" spans="1:2" ht="15.75">
      <c r="A173" s="114" t="s">
        <v>316</v>
      </c>
      <c r="B173" s="115" t="s">
        <v>243</v>
      </c>
    </row>
    <row r="174" spans="1:2" ht="15.75">
      <c r="A174" s="114" t="s">
        <v>254</v>
      </c>
      <c r="B174" s="114" t="s">
        <v>333</v>
      </c>
    </row>
    <row r="175" spans="1:2" ht="45.75">
      <c r="A175" s="114" t="s">
        <v>304</v>
      </c>
      <c r="B175" s="114" t="s">
        <v>254</v>
      </c>
    </row>
    <row r="176" spans="1:2" ht="30.75">
      <c r="A176" s="120"/>
      <c r="B176" s="114" t="s">
        <v>258</v>
      </c>
    </row>
    <row r="177" spans="1:2" ht="31.5">
      <c r="A177" s="116" t="s">
        <v>521</v>
      </c>
      <c r="B177" s="205"/>
    </row>
    <row r="178" spans="1:2" ht="30">
      <c r="A178" s="117" t="s">
        <v>522</v>
      </c>
      <c r="B178" s="205"/>
    </row>
    <row r="179" spans="1:2">
      <c r="A179" s="117" t="s">
        <v>298</v>
      </c>
      <c r="B179" s="205"/>
    </row>
    <row r="180" spans="1:2" ht="15.75">
      <c r="A180" s="116" t="s">
        <v>523</v>
      </c>
      <c r="B180" s="205"/>
    </row>
    <row r="181" spans="1:2" ht="60.75">
      <c r="A181" s="116" t="s">
        <v>524</v>
      </c>
      <c r="B181" s="205"/>
    </row>
    <row r="182" spans="1:2" ht="30.75">
      <c r="A182" s="116" t="s">
        <v>525</v>
      </c>
      <c r="B182" s="205"/>
    </row>
    <row r="183" spans="1:2">
      <c r="A183" s="110"/>
    </row>
    <row r="184" spans="1:2" ht="15.75">
      <c r="A184" s="105" t="s">
        <v>390</v>
      </c>
    </row>
    <row r="185" spans="1:2" ht="31.5">
      <c r="A185" s="114" t="s">
        <v>393</v>
      </c>
      <c r="B185" s="203"/>
    </row>
    <row r="186" spans="1:2" ht="30">
      <c r="A186" s="115" t="s">
        <v>526</v>
      </c>
      <c r="B186" s="203"/>
    </row>
    <row r="187" spans="1:2">
      <c r="A187" s="115" t="s">
        <v>243</v>
      </c>
      <c r="B187" s="203"/>
    </row>
    <row r="188" spans="1:2" ht="30.75">
      <c r="A188" s="114" t="s">
        <v>398</v>
      </c>
      <c r="B188" s="203"/>
    </row>
    <row r="189" spans="1:2" ht="15.75">
      <c r="A189" s="114" t="s">
        <v>254</v>
      </c>
      <c r="B189" s="203"/>
    </row>
    <row r="190" spans="1:2" ht="45.75">
      <c r="A190" s="114" t="s">
        <v>402</v>
      </c>
      <c r="B190" s="203"/>
    </row>
    <row r="191" spans="1:2">
      <c r="A191" s="110"/>
    </row>
    <row r="192" spans="1:2" ht="69.75">
      <c r="A192" s="118" t="s">
        <v>403</v>
      </c>
    </row>
    <row r="193" spans="1:2">
      <c r="A193" s="110"/>
    </row>
    <row r="194" spans="1:2" ht="15.75">
      <c r="A194" s="105" t="s">
        <v>527</v>
      </c>
    </row>
    <row r="195" spans="1:2" ht="47.25">
      <c r="A195" s="114" t="s">
        <v>528</v>
      </c>
    </row>
    <row r="196" spans="1:2" ht="30">
      <c r="A196" s="115" t="s">
        <v>529</v>
      </c>
    </row>
    <row r="197" spans="1:2">
      <c r="A197" s="115" t="s">
        <v>298</v>
      </c>
    </row>
    <row r="198" spans="1:2" ht="15.75">
      <c r="A198" s="114" t="s">
        <v>530</v>
      </c>
    </row>
    <row r="199" spans="1:2" ht="15.75">
      <c r="A199" s="114" t="s">
        <v>254</v>
      </c>
    </row>
    <row r="200" spans="1:2" ht="393.75">
      <c r="A200" s="114" t="s">
        <v>531</v>
      </c>
    </row>
    <row r="201" spans="1:2">
      <c r="A201" s="110"/>
    </row>
    <row r="202" spans="1:2" ht="15.75">
      <c r="A202" s="105" t="s">
        <v>532</v>
      </c>
    </row>
    <row r="203" spans="1:2" ht="31.5">
      <c r="A203" s="114" t="s">
        <v>533</v>
      </c>
      <c r="B203" s="203"/>
    </row>
    <row r="204" spans="1:2" ht="30">
      <c r="A204" s="115" t="s">
        <v>534</v>
      </c>
      <c r="B204" s="203"/>
    </row>
    <row r="205" spans="1:2">
      <c r="A205" s="115" t="s">
        <v>243</v>
      </c>
      <c r="B205" s="203"/>
    </row>
    <row r="206" spans="1:2">
      <c r="A206" s="115" t="s">
        <v>409</v>
      </c>
      <c r="B206" s="203"/>
    </row>
    <row r="207" spans="1:2" ht="30.75">
      <c r="A207" s="114" t="s">
        <v>535</v>
      </c>
      <c r="B207" s="203"/>
    </row>
    <row r="208" spans="1:2" ht="15.75">
      <c r="A208" s="114" t="s">
        <v>536</v>
      </c>
      <c r="B208" s="203"/>
    </row>
    <row r="209" spans="1:2" ht="15.75">
      <c r="A209" s="114" t="s">
        <v>254</v>
      </c>
      <c r="B209" s="203"/>
    </row>
    <row r="210" spans="1:2" ht="45.75">
      <c r="A210" s="114" t="s">
        <v>402</v>
      </c>
      <c r="B210" s="203"/>
    </row>
    <row r="211" spans="1:2">
      <c r="A211" s="110"/>
    </row>
    <row r="212" spans="1:2" ht="15.75">
      <c r="A212" s="105" t="s">
        <v>405</v>
      </c>
    </row>
    <row r="213" spans="1:2" ht="15.75">
      <c r="A213" s="114" t="s">
        <v>406</v>
      </c>
      <c r="B213" s="203"/>
    </row>
    <row r="214" spans="1:2" ht="30">
      <c r="A214" s="115" t="s">
        <v>537</v>
      </c>
      <c r="B214" s="203"/>
    </row>
    <row r="215" spans="1:2">
      <c r="A215" s="115" t="s">
        <v>243</v>
      </c>
      <c r="B215" s="203"/>
    </row>
    <row r="216" spans="1:2">
      <c r="A216" s="115" t="s">
        <v>409</v>
      </c>
      <c r="B216" s="203"/>
    </row>
    <row r="217" spans="1:2" ht="30.75">
      <c r="A217" s="114" t="s">
        <v>411</v>
      </c>
      <c r="B217" s="203"/>
    </row>
    <row r="218" spans="1:2" ht="30.75">
      <c r="A218" s="114" t="s">
        <v>538</v>
      </c>
      <c r="B218" s="203"/>
    </row>
    <row r="219" spans="1:2" ht="15.75">
      <c r="A219" s="114" t="s">
        <v>254</v>
      </c>
      <c r="B219" s="203"/>
    </row>
    <row r="220" spans="1:2" ht="45.75">
      <c r="A220" s="114" t="s">
        <v>402</v>
      </c>
      <c r="B220" s="203"/>
    </row>
    <row r="221" spans="1:2">
      <c r="A221" s="110"/>
    </row>
    <row r="222" spans="1:2" ht="15.75">
      <c r="A222" s="105" t="s">
        <v>413</v>
      </c>
    </row>
    <row r="223" spans="1:2" ht="15.75">
      <c r="A223" s="114" t="s">
        <v>414</v>
      </c>
      <c r="B223" s="203"/>
    </row>
    <row r="224" spans="1:2" ht="30">
      <c r="A224" s="115" t="s">
        <v>539</v>
      </c>
      <c r="B224" s="203"/>
    </row>
    <row r="225" spans="1:2">
      <c r="A225" s="115" t="s">
        <v>243</v>
      </c>
      <c r="B225" s="203"/>
    </row>
    <row r="226" spans="1:2">
      <c r="A226" s="115" t="s">
        <v>409</v>
      </c>
      <c r="B226" s="203"/>
    </row>
    <row r="227" spans="1:2" ht="30.75">
      <c r="A227" s="114" t="s">
        <v>411</v>
      </c>
      <c r="B227" s="203"/>
    </row>
    <row r="228" spans="1:2" ht="15.75">
      <c r="A228" s="114" t="s">
        <v>416</v>
      </c>
      <c r="B228" s="203"/>
    </row>
    <row r="229" spans="1:2" ht="15.75">
      <c r="A229" s="114" t="s">
        <v>254</v>
      </c>
      <c r="B229" s="203"/>
    </row>
    <row r="230" spans="1:2" ht="45.75">
      <c r="A230" s="114" t="s">
        <v>402</v>
      </c>
      <c r="B230" s="203"/>
    </row>
    <row r="231" spans="1:2">
      <c r="A231" s="110"/>
    </row>
    <row r="232" spans="1:2" ht="31.5">
      <c r="A232" s="105" t="s">
        <v>422</v>
      </c>
    </row>
    <row r="233" spans="1:2" ht="31.5">
      <c r="A233" s="114" t="s">
        <v>540</v>
      </c>
      <c r="B233" s="114" t="s">
        <v>545</v>
      </c>
    </row>
    <row r="234" spans="1:2" ht="30">
      <c r="A234" s="115" t="s">
        <v>541</v>
      </c>
      <c r="B234" s="115" t="s">
        <v>546</v>
      </c>
    </row>
    <row r="235" spans="1:2" ht="30">
      <c r="A235" s="115" t="s">
        <v>542</v>
      </c>
      <c r="B235" s="115" t="s">
        <v>547</v>
      </c>
    </row>
    <row r="236" spans="1:2">
      <c r="A236" s="115" t="s">
        <v>243</v>
      </c>
      <c r="B236" s="115" t="s">
        <v>243</v>
      </c>
    </row>
    <row r="237" spans="1:2" ht="60.75">
      <c r="A237" s="115" t="s">
        <v>444</v>
      </c>
      <c r="B237" s="114" t="s">
        <v>548</v>
      </c>
    </row>
    <row r="238" spans="1:2" ht="15.75">
      <c r="A238" s="115" t="s">
        <v>543</v>
      </c>
      <c r="B238" s="114" t="s">
        <v>426</v>
      </c>
    </row>
    <row r="239" spans="1:2" ht="15.75">
      <c r="A239" s="114" t="s">
        <v>544</v>
      </c>
      <c r="B239" s="114" t="s">
        <v>254</v>
      </c>
    </row>
    <row r="240" spans="1:2" ht="30.75">
      <c r="A240" s="114" t="s">
        <v>254</v>
      </c>
      <c r="B240" s="114" t="s">
        <v>402</v>
      </c>
    </row>
    <row r="241" spans="1:2" ht="45.75">
      <c r="A241" s="114" t="s">
        <v>402</v>
      </c>
      <c r="B241" s="120"/>
    </row>
    <row r="242" spans="1:2">
      <c r="A242" s="110"/>
    </row>
    <row r="243" spans="1:2" ht="31.5">
      <c r="A243" s="105" t="s">
        <v>549</v>
      </c>
    </row>
    <row r="244" spans="1:2" ht="15.75">
      <c r="A244" s="114" t="s">
        <v>550</v>
      </c>
      <c r="B244" s="203"/>
    </row>
    <row r="245" spans="1:2" ht="30">
      <c r="A245" s="115" t="s">
        <v>551</v>
      </c>
      <c r="B245" s="203"/>
    </row>
    <row r="246" spans="1:2">
      <c r="A246" s="115" t="s">
        <v>243</v>
      </c>
      <c r="B246" s="203"/>
    </row>
    <row r="247" spans="1:2">
      <c r="A247" s="115" t="s">
        <v>248</v>
      </c>
      <c r="B247" s="203"/>
    </row>
    <row r="248" spans="1:2" ht="45.75">
      <c r="A248" s="114" t="s">
        <v>552</v>
      </c>
      <c r="B248" s="203"/>
    </row>
    <row r="249" spans="1:2" ht="15.75">
      <c r="A249" s="114" t="s">
        <v>553</v>
      </c>
      <c r="B249" s="203"/>
    </row>
    <row r="250" spans="1:2" ht="15.75">
      <c r="A250" s="114" t="s">
        <v>254</v>
      </c>
      <c r="B250" s="203"/>
    </row>
    <row r="251" spans="1:2" ht="45.75">
      <c r="A251" s="114" t="s">
        <v>402</v>
      </c>
      <c r="B251" s="203"/>
    </row>
    <row r="252" spans="1:2">
      <c r="A252" s="110"/>
    </row>
    <row r="253" spans="1:2" ht="15.75">
      <c r="A253" s="105" t="s">
        <v>427</v>
      </c>
    </row>
    <row r="254" spans="1:2" ht="15.75">
      <c r="A254" s="114" t="s">
        <v>428</v>
      </c>
      <c r="B254" s="203"/>
    </row>
    <row r="255" spans="1:2" ht="30">
      <c r="A255" s="115" t="s">
        <v>554</v>
      </c>
      <c r="B255" s="203"/>
    </row>
    <row r="256" spans="1:2" ht="30">
      <c r="A256" s="115" t="s">
        <v>555</v>
      </c>
      <c r="B256" s="203"/>
    </row>
    <row r="257" spans="1:2">
      <c r="A257" s="115" t="s">
        <v>243</v>
      </c>
      <c r="B257" s="203"/>
    </row>
    <row r="258" spans="1:2" ht="30">
      <c r="A258" s="115" t="s">
        <v>383</v>
      </c>
      <c r="B258" s="203"/>
    </row>
    <row r="259" spans="1:2">
      <c r="A259" s="115" t="s">
        <v>386</v>
      </c>
      <c r="B259" s="203"/>
    </row>
    <row r="260" spans="1:2" ht="15.75">
      <c r="A260" s="114" t="s">
        <v>431</v>
      </c>
      <c r="B260" s="203"/>
    </row>
    <row r="261" spans="1:2" ht="15.75">
      <c r="A261" s="114" t="s">
        <v>254</v>
      </c>
      <c r="B261" s="203"/>
    </row>
    <row r="262" spans="1:2" ht="45.75">
      <c r="A262" s="114" t="s">
        <v>402</v>
      </c>
      <c r="B262" s="203"/>
    </row>
    <row r="263" spans="1:2">
      <c r="A263" s="110"/>
    </row>
    <row r="264" spans="1:2" ht="15.75">
      <c r="A264" s="105" t="s">
        <v>432</v>
      </c>
    </row>
    <row r="265" spans="1:2" ht="15.75">
      <c r="A265" s="114" t="s">
        <v>433</v>
      </c>
      <c r="B265" s="114" t="s">
        <v>558</v>
      </c>
    </row>
    <row r="266" spans="1:2" ht="30">
      <c r="A266" s="115" t="s">
        <v>556</v>
      </c>
      <c r="B266" s="115" t="s">
        <v>559</v>
      </c>
    </row>
    <row r="267" spans="1:2">
      <c r="A267" s="115" t="s">
        <v>243</v>
      </c>
      <c r="B267" s="115" t="s">
        <v>560</v>
      </c>
    </row>
    <row r="268" spans="1:2" ht="15.75">
      <c r="A268" s="115" t="s">
        <v>269</v>
      </c>
      <c r="B268" s="114" t="s">
        <v>561</v>
      </c>
    </row>
    <row r="269" spans="1:2" ht="30.75">
      <c r="A269" s="114" t="s">
        <v>557</v>
      </c>
      <c r="B269" s="114" t="s">
        <v>562</v>
      </c>
    </row>
    <row r="270" spans="1:2" ht="15.75">
      <c r="A270" s="114" t="s">
        <v>254</v>
      </c>
      <c r="B270" s="114" t="s">
        <v>563</v>
      </c>
    </row>
    <row r="271" spans="1:2" ht="45.75">
      <c r="A271" s="114" t="s">
        <v>402</v>
      </c>
      <c r="B271" s="114" t="s">
        <v>564</v>
      </c>
    </row>
    <row r="272" spans="1:2">
      <c r="A272" s="110"/>
    </row>
    <row r="273" spans="1:2" ht="47.25">
      <c r="A273" s="105" t="s">
        <v>436</v>
      </c>
    </row>
    <row r="274" spans="1:2" ht="31.5">
      <c r="A274" s="114" t="s">
        <v>565</v>
      </c>
      <c r="B274" s="114" t="s">
        <v>437</v>
      </c>
    </row>
    <row r="275" spans="1:2" ht="30">
      <c r="A275" s="115" t="s">
        <v>566</v>
      </c>
      <c r="B275" s="115" t="s">
        <v>568</v>
      </c>
    </row>
    <row r="276" spans="1:2">
      <c r="A276" s="115" t="s">
        <v>243</v>
      </c>
      <c r="B276" s="115" t="s">
        <v>560</v>
      </c>
    </row>
    <row r="277" spans="1:2" ht="15.75">
      <c r="A277" s="114" t="s">
        <v>567</v>
      </c>
      <c r="B277" s="114" t="s">
        <v>569</v>
      </c>
    </row>
    <row r="278" spans="1:2" ht="15.75">
      <c r="A278" s="114" t="s">
        <v>254</v>
      </c>
      <c r="B278" s="114" t="s">
        <v>570</v>
      </c>
    </row>
    <row r="279" spans="1:2" ht="45.75">
      <c r="A279" s="114" t="s">
        <v>402</v>
      </c>
      <c r="B279" s="114" t="s">
        <v>563</v>
      </c>
    </row>
    <row r="280" spans="1:2" ht="30.75">
      <c r="A280" s="120"/>
      <c r="B280" s="114" t="s">
        <v>564</v>
      </c>
    </row>
    <row r="281" spans="1:2">
      <c r="A281" s="110"/>
    </row>
    <row r="282" spans="1:2" ht="15.75">
      <c r="A282" s="105" t="s">
        <v>441</v>
      </c>
    </row>
    <row r="283" spans="1:2" ht="31.5">
      <c r="A283" s="114" t="s">
        <v>442</v>
      </c>
      <c r="B283" s="203"/>
    </row>
    <row r="284" spans="1:2" ht="30">
      <c r="A284" s="115" t="s">
        <v>571</v>
      </c>
      <c r="B284" s="203"/>
    </row>
    <row r="285" spans="1:2">
      <c r="A285" s="115" t="s">
        <v>243</v>
      </c>
      <c r="B285" s="203"/>
    </row>
    <row r="286" spans="1:2" ht="30">
      <c r="A286" s="115" t="s">
        <v>444</v>
      </c>
      <c r="B286" s="203"/>
    </row>
    <row r="287" spans="1:2">
      <c r="A287" s="115" t="s">
        <v>386</v>
      </c>
      <c r="B287" s="203"/>
    </row>
    <row r="288" spans="1:2" ht="30.75">
      <c r="A288" s="114" t="s">
        <v>445</v>
      </c>
      <c r="B288" s="203"/>
    </row>
    <row r="289" spans="1:2" ht="15.75">
      <c r="A289" s="114" t="s">
        <v>446</v>
      </c>
      <c r="B289" s="203"/>
    </row>
    <row r="290" spans="1:2" ht="15.75">
      <c r="A290" s="114" t="s">
        <v>254</v>
      </c>
      <c r="B290" s="203"/>
    </row>
    <row r="291" spans="1:2" ht="45.75">
      <c r="A291" s="114" t="s">
        <v>402</v>
      </c>
      <c r="B291" s="203"/>
    </row>
  </sheetData>
  <mergeCells count="13">
    <mergeCell ref="B32:B37"/>
    <mergeCell ref="B58:B65"/>
    <mergeCell ref="F19:F24"/>
    <mergeCell ref="F48:F53"/>
    <mergeCell ref="B283:B291"/>
    <mergeCell ref="B132:B138"/>
    <mergeCell ref="B177:B182"/>
    <mergeCell ref="B185:B190"/>
    <mergeCell ref="B203:B210"/>
    <mergeCell ref="B213:B220"/>
    <mergeCell ref="B223:B230"/>
    <mergeCell ref="B244:B251"/>
    <mergeCell ref="B254:B26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zoomScaleNormal="100" workbookViewId="0">
      <selection activeCell="C19" sqref="C19"/>
    </sheetView>
  </sheetViews>
  <sheetFormatPr defaultRowHeight="15"/>
  <cols>
    <col min="1" max="38" width="9.140625" style="1"/>
    <col min="39" max="39" width="0" style="1" hidden="1" customWidth="1"/>
    <col min="40" max="16384" width="9.140625" style="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Setup</vt:lpstr>
      <vt:lpstr>Course List</vt:lpstr>
      <vt:lpstr>Semester View</vt:lpstr>
      <vt:lpstr>AR</vt:lpstr>
      <vt:lpstr>Planning Sheets</vt:lpstr>
      <vt:lpstr>2015 Winterim Courses</vt:lpstr>
      <vt:lpstr>2016 Winterim Courses</vt:lpstr>
      <vt:lpstr>Notes</vt:lpstr>
      <vt:lpstr>FreshmanCredits</vt:lpstr>
      <vt:lpstr>FreshmanMin</vt:lpstr>
      <vt:lpstr>JuniorCredits</vt:lpstr>
      <vt:lpstr>JuniorMin</vt:lpstr>
      <vt:lpstr>SeniorCredits</vt:lpstr>
      <vt:lpstr>SophomoreCredits</vt:lpstr>
      <vt:lpstr>SophomoreMin</vt:lpstr>
      <vt:lpstr>StartingCredits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Bolles</dc:creator>
  <cp:lastModifiedBy>Nicholas Bolles</cp:lastModifiedBy>
  <dcterms:created xsi:type="dcterms:W3CDTF">2014-04-29T00:38:34Z</dcterms:created>
  <dcterms:modified xsi:type="dcterms:W3CDTF">2015-11-12T23:27:00Z</dcterms:modified>
</cp:coreProperties>
</file>