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ook15\Documents\Bitcoin\"/>
    </mc:Choice>
  </mc:AlternateContent>
  <xr:revisionPtr revIDLastSave="0" documentId="13_ncr:1_{2030A16B-89FD-4EBB-8B60-0BDEF17DEB5E}" xr6:coauthVersionLast="45" xr6:coauthVersionMax="45" xr10:uidLastSave="{00000000-0000-0000-0000-000000000000}"/>
  <bookViews>
    <workbookView xWindow="-108" yWindow="-108" windowWidth="23256" windowHeight="12576" activeTab="1" xr2:uid="{CBDF1AEE-9511-4F64-9B1E-33F48A0F4FFF}"/>
  </bookViews>
  <sheets>
    <sheet name="PreHalving" sheetId="2" r:id="rId1"/>
    <sheet name="PreHalving - Remove Outliers" sheetId="11" r:id="rId2"/>
    <sheet name="PreHalving + First Halving" sheetId="4" r:id="rId3"/>
    <sheet name="First Halving + Second Halving" sheetId="5" r:id="rId4"/>
    <sheet name="AllData" sheetId="1" r:id="rId5"/>
    <sheet name="AllData - Remove early" sheetId="10" r:id="rId6"/>
    <sheet name="Trend" sheetId="9" r:id="rId7"/>
    <sheet name="PlanB" sheetId="6" r:id="rId8"/>
    <sheet name="April 2020" sheetId="7" r:id="rId9"/>
    <sheet name="April 2020 - PlanB" sheetId="8" r:id="rId10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1" l="1"/>
  <c r="G8" i="11" s="1"/>
  <c r="H8" i="11" s="1"/>
  <c r="J8" i="11" s="1"/>
  <c r="F7" i="11"/>
  <c r="G7" i="11" s="1"/>
  <c r="H7" i="11" s="1"/>
  <c r="J7" i="11" s="1"/>
  <c r="F6" i="11"/>
  <c r="G6" i="11" s="1"/>
  <c r="H6" i="11" s="1"/>
  <c r="J6" i="11" s="1"/>
  <c r="F5" i="11"/>
  <c r="G5" i="11" s="1"/>
  <c r="H5" i="11" s="1"/>
  <c r="J5" i="11" s="1"/>
  <c r="F4" i="11"/>
  <c r="G4" i="11" s="1"/>
  <c r="H4" i="11" s="1"/>
  <c r="J4" i="11" s="1"/>
  <c r="K4" i="11" s="1"/>
  <c r="F3" i="11"/>
  <c r="G3" i="11" s="1"/>
  <c r="H3" i="11" s="1"/>
  <c r="J3" i="11" s="1"/>
  <c r="F2" i="11"/>
  <c r="G2" i="11" s="1"/>
  <c r="H2" i="11" s="1"/>
  <c r="J2" i="11" s="1"/>
  <c r="K3" i="11" l="1"/>
  <c r="K5" i="11"/>
  <c r="K6" i="11"/>
  <c r="G8" i="10"/>
  <c r="H8" i="10" s="1"/>
  <c r="J8" i="10" s="1"/>
  <c r="F8" i="10"/>
  <c r="F7" i="10"/>
  <c r="G7" i="10" s="1"/>
  <c r="H7" i="10" s="1"/>
  <c r="J7" i="10" s="1"/>
  <c r="F6" i="10"/>
  <c r="G6" i="10" s="1"/>
  <c r="H6" i="10" s="1"/>
  <c r="J6" i="10" s="1"/>
  <c r="F5" i="10"/>
  <c r="G5" i="10" s="1"/>
  <c r="H5" i="10" s="1"/>
  <c r="J5" i="10" s="1"/>
  <c r="G4" i="10"/>
  <c r="H4" i="10" s="1"/>
  <c r="J4" i="10" s="1"/>
  <c r="F4" i="10"/>
  <c r="G3" i="10"/>
  <c r="H3" i="10" s="1"/>
  <c r="J3" i="10" s="1"/>
  <c r="F3" i="10"/>
  <c r="F2" i="10"/>
  <c r="G2" i="10" s="1"/>
  <c r="H2" i="10" s="1"/>
  <c r="J2" i="10" s="1"/>
  <c r="K3" i="10" l="1"/>
  <c r="K4" i="10"/>
  <c r="K6" i="10"/>
  <c r="K7" i="10"/>
  <c r="K5" i="10"/>
  <c r="K5" i="4"/>
  <c r="K4" i="4"/>
  <c r="K3" i="4"/>
  <c r="B2" i="9"/>
  <c r="E16" i="9"/>
  <c r="K6" i="2"/>
  <c r="K5" i="2"/>
  <c r="K4" i="2"/>
  <c r="K3" i="2"/>
  <c r="K7" i="1"/>
  <c r="K6" i="1"/>
  <c r="K5" i="1"/>
  <c r="K4" i="1"/>
  <c r="K3" i="1"/>
  <c r="B1" i="9"/>
  <c r="F14" i="9"/>
  <c r="F13" i="9"/>
  <c r="F12" i="9"/>
  <c r="F8" i="9"/>
  <c r="F7" i="9"/>
  <c r="F6" i="9"/>
  <c r="F5" i="9"/>
  <c r="F4" i="9"/>
  <c r="F3" i="9"/>
  <c r="F2" i="9"/>
  <c r="G4" i="9" l="1"/>
  <c r="H4" i="9" s="1"/>
  <c r="J4" i="9" s="1"/>
  <c r="G2" i="9"/>
  <c r="H2" i="9" s="1"/>
  <c r="J2" i="9" s="1"/>
  <c r="G5" i="9"/>
  <c r="H5" i="9" s="1"/>
  <c r="J5" i="9" s="1"/>
  <c r="G6" i="9"/>
  <c r="H6" i="9" s="1"/>
  <c r="J6" i="9" s="1"/>
  <c r="G3" i="9"/>
  <c r="H3" i="9" s="1"/>
  <c r="J3" i="9" s="1"/>
  <c r="G8" i="9"/>
  <c r="H8" i="9" s="1"/>
  <c r="J8" i="9" s="1"/>
  <c r="G7" i="9"/>
  <c r="H7" i="9" s="1"/>
  <c r="J7" i="9" s="1"/>
  <c r="J4" i="8" l="1"/>
  <c r="J3" i="8"/>
  <c r="J5" i="8"/>
  <c r="J6" i="8"/>
  <c r="J7" i="8"/>
  <c r="J8" i="8"/>
  <c r="J2" i="8"/>
  <c r="J3" i="7"/>
  <c r="J4" i="7"/>
  <c r="J5" i="7"/>
  <c r="J6" i="7"/>
  <c r="J7" i="7"/>
  <c r="J8" i="7"/>
  <c r="J2" i="7"/>
  <c r="F8" i="6"/>
  <c r="G8" i="6" s="1"/>
  <c r="H8" i="6" s="1"/>
  <c r="J8" i="6" s="1"/>
  <c r="F7" i="6"/>
  <c r="G7" i="6" s="1"/>
  <c r="H7" i="6" s="1"/>
  <c r="J7" i="6" s="1"/>
  <c r="F6" i="6"/>
  <c r="G6" i="6" s="1"/>
  <c r="H6" i="6" s="1"/>
  <c r="J6" i="6" s="1"/>
  <c r="F5" i="6"/>
  <c r="G5" i="6" s="1"/>
  <c r="H5" i="6" s="1"/>
  <c r="J5" i="6" s="1"/>
  <c r="F4" i="6"/>
  <c r="G4" i="6" s="1"/>
  <c r="H4" i="6" s="1"/>
  <c r="J4" i="6" s="1"/>
  <c r="F3" i="6"/>
  <c r="G3" i="6" s="1"/>
  <c r="H3" i="6" s="1"/>
  <c r="J3" i="6" s="1"/>
  <c r="F2" i="6"/>
  <c r="G2" i="6" s="1"/>
  <c r="H2" i="6" s="1"/>
  <c r="J2" i="6" s="1"/>
  <c r="F2" i="5"/>
  <c r="G2" i="5" s="1"/>
  <c r="H2" i="5" s="1"/>
  <c r="J2" i="5" s="1"/>
  <c r="F2" i="4"/>
  <c r="G2" i="4" s="1"/>
  <c r="H2" i="4" s="1"/>
  <c r="J2" i="4" s="1"/>
  <c r="F2" i="1"/>
  <c r="G2" i="1" s="1"/>
  <c r="H2" i="1" s="1"/>
  <c r="J2" i="1" s="1"/>
  <c r="F8" i="5"/>
  <c r="G8" i="5" s="1"/>
  <c r="H8" i="5" s="1"/>
  <c r="J8" i="5" s="1"/>
  <c r="F7" i="5"/>
  <c r="G7" i="5" s="1"/>
  <c r="H7" i="5" s="1"/>
  <c r="J7" i="5" s="1"/>
  <c r="F6" i="5"/>
  <c r="G6" i="5" s="1"/>
  <c r="H6" i="5" s="1"/>
  <c r="J6" i="5" s="1"/>
  <c r="F5" i="5"/>
  <c r="G5" i="5" s="1"/>
  <c r="H5" i="5" s="1"/>
  <c r="J5" i="5" s="1"/>
  <c r="F4" i="5"/>
  <c r="G4" i="5" s="1"/>
  <c r="H4" i="5" s="1"/>
  <c r="J4" i="5" s="1"/>
  <c r="F3" i="5"/>
  <c r="G3" i="5" s="1"/>
  <c r="H3" i="5" s="1"/>
  <c r="J3" i="5" s="1"/>
  <c r="F2" i="2"/>
  <c r="G2" i="2" s="1"/>
  <c r="H2" i="2" s="1"/>
  <c r="J2" i="2" s="1"/>
  <c r="G8" i="4"/>
  <c r="H8" i="4" s="1"/>
  <c r="J8" i="4" s="1"/>
  <c r="F8" i="4"/>
  <c r="F7" i="4"/>
  <c r="G7" i="4" s="1"/>
  <c r="H7" i="4" s="1"/>
  <c r="J7" i="4" s="1"/>
  <c r="F6" i="4"/>
  <c r="G6" i="4" s="1"/>
  <c r="H6" i="4" s="1"/>
  <c r="J6" i="4" s="1"/>
  <c r="F5" i="4"/>
  <c r="G5" i="4" s="1"/>
  <c r="H5" i="4" s="1"/>
  <c r="J5" i="4" s="1"/>
  <c r="F4" i="4"/>
  <c r="G4" i="4" s="1"/>
  <c r="H4" i="4" s="1"/>
  <c r="J4" i="4" s="1"/>
  <c r="F3" i="4"/>
  <c r="G3" i="4" s="1"/>
  <c r="H3" i="4" s="1"/>
  <c r="J3" i="4" s="1"/>
  <c r="F8" i="2"/>
  <c r="G8" i="2" s="1"/>
  <c r="H8" i="2" s="1"/>
  <c r="J8" i="2" s="1"/>
  <c r="F7" i="2"/>
  <c r="G7" i="2" s="1"/>
  <c r="H7" i="2" s="1"/>
  <c r="J7" i="2" s="1"/>
  <c r="F6" i="2"/>
  <c r="G6" i="2" s="1"/>
  <c r="H6" i="2" s="1"/>
  <c r="J6" i="2" s="1"/>
  <c r="F5" i="2"/>
  <c r="G5" i="2" s="1"/>
  <c r="H5" i="2" s="1"/>
  <c r="J5" i="2" s="1"/>
  <c r="F4" i="2"/>
  <c r="G4" i="2" s="1"/>
  <c r="H4" i="2" s="1"/>
  <c r="J4" i="2" s="1"/>
  <c r="F3" i="2"/>
  <c r="G3" i="2" s="1"/>
  <c r="H3" i="2" s="1"/>
  <c r="J3" i="2" s="1"/>
  <c r="F3" i="1"/>
  <c r="G3" i="1" s="1"/>
  <c r="H3" i="1" s="1"/>
  <c r="J3" i="1" s="1"/>
  <c r="F7" i="1"/>
  <c r="G7" i="1" s="1"/>
  <c r="H7" i="1" s="1"/>
  <c r="J7" i="1" s="1"/>
  <c r="F8" i="1"/>
  <c r="G8" i="1" s="1"/>
  <c r="H8" i="1" s="1"/>
  <c r="J8" i="1" s="1"/>
  <c r="F6" i="1"/>
  <c r="G6" i="1" s="1"/>
  <c r="H6" i="1" s="1"/>
  <c r="J6" i="1" s="1"/>
  <c r="F5" i="1"/>
  <c r="G5" i="1" s="1"/>
  <c r="H5" i="1" s="1"/>
  <c r="J5" i="1" s="1"/>
  <c r="F4" i="1"/>
  <c r="G4" i="1" s="1"/>
  <c r="H4" i="1" s="1"/>
  <c r="J4" i="1" s="1"/>
</calcChain>
</file>

<file path=xl/sharedStrings.xml><?xml version="1.0" encoding="utf-8"?>
<sst xmlns="http://schemas.openxmlformats.org/spreadsheetml/2006/main" count="116" uniqueCount="18">
  <si>
    <t>intercept</t>
  </si>
  <si>
    <t xml:space="preserve">SF coefficient </t>
  </si>
  <si>
    <t>S2F</t>
  </si>
  <si>
    <t>Model Value</t>
  </si>
  <si>
    <t>ln(SF)</t>
  </si>
  <si>
    <t>LN(Model Value)</t>
  </si>
  <si>
    <t>Price per Bitcoin</t>
  </si>
  <si>
    <t>Number of Bitcoins</t>
  </si>
  <si>
    <t>Year</t>
  </si>
  <si>
    <t>r2</t>
  </si>
  <si>
    <t>SF coefficient</t>
  </si>
  <si>
    <t>Intercept</t>
  </si>
  <si>
    <t>SF Coefficient</t>
  </si>
  <si>
    <t>PreHalving</t>
  </si>
  <si>
    <t>Pre + First</t>
  </si>
  <si>
    <t>All Data</t>
  </si>
  <si>
    <t>Trend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</si>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</sst>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E6B6-F453-4BAA-B33C-89DAC3939780}">
  <dimension ref="A1:L9"/>
  <sheetViews>
    <sheetView workbookViewId="0">
      <selection activeCell="B3" sqref="B3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2" x14ac:dyDescent="0.3">
      <c r="A1" t="s">
        <v>0</v>
      </c>
      <c r="B1">
        <v>14.05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2" x14ac:dyDescent="0.3">
      <c r="A2" t="s">
        <v>1</v>
      </c>
      <c r="B2">
        <v>3.9</v>
      </c>
      <c r="D2">
        <v>2011</v>
      </c>
      <c r="E2">
        <v>2.5</v>
      </c>
      <c r="F2">
        <f>LN(E2)</f>
        <v>0.91629073187415511</v>
      </c>
      <c r="G2">
        <f>F2*$B$2+$B$1</f>
        <v>17.623533854309205</v>
      </c>
      <c r="H2" s="2">
        <f>EXP(G2)</f>
        <v>45061277.980140433</v>
      </c>
      <c r="I2" s="3">
        <v>7300000</v>
      </c>
      <c r="J2" s="1">
        <f>H2/I2</f>
        <v>6.172777805498689</v>
      </c>
    </row>
    <row r="3" spans="1:12" x14ac:dyDescent="0.3">
      <c r="D3">
        <v>2012</v>
      </c>
      <c r="E3">
        <v>8.4</v>
      </c>
      <c r="F3">
        <f>LN(E3)</f>
        <v>2.1282317058492679</v>
      </c>
      <c r="G3">
        <f>F3*$B$2+$B$1</f>
        <v>22.350103652812145</v>
      </c>
      <c r="H3" s="2">
        <f>EXP(G3)</f>
        <v>5087760817.8664589</v>
      </c>
      <c r="I3" s="3">
        <v>11000000</v>
      </c>
      <c r="J3" s="1">
        <f>H3/I3</f>
        <v>462.52371071513261</v>
      </c>
      <c r="K3">
        <f>J3/J2</f>
        <v>74.929590095259556</v>
      </c>
      <c r="L3" t="s">
        <v>17</v>
      </c>
    </row>
    <row r="4" spans="1:12" x14ac:dyDescent="0.3">
      <c r="A4" t="s">
        <v>9</v>
      </c>
      <c r="B4">
        <v>0.92</v>
      </c>
      <c r="D4">
        <v>2016</v>
      </c>
      <c r="E4">
        <v>25</v>
      </c>
      <c r="F4">
        <f>LN(E4)</f>
        <v>3.2188758248682006</v>
      </c>
      <c r="G4">
        <f>F4*$B$2+$B$1</f>
        <v>26.603615716985985</v>
      </c>
      <c r="H4" s="2">
        <f>EXP(G4)</f>
        <v>357934453923.85156</v>
      </c>
      <c r="I4" s="3">
        <v>16000000</v>
      </c>
      <c r="J4" s="1">
        <f>H4/I4</f>
        <v>22370.903370240721</v>
      </c>
      <c r="K4">
        <f>J4/J3</f>
        <v>48.367041195902956</v>
      </c>
      <c r="L4" t="s">
        <v>17</v>
      </c>
    </row>
    <row r="5" spans="1:12" x14ac:dyDescent="0.3">
      <c r="D5">
        <v>2020</v>
      </c>
      <c r="E5">
        <v>50</v>
      </c>
      <c r="F5">
        <f>LN(E5)</f>
        <v>3.912023005428146</v>
      </c>
      <c r="G5">
        <f>F5*$B$2+$B$1</f>
        <v>29.306889721169767</v>
      </c>
      <c r="H5" s="2">
        <f>EXP(G5)</f>
        <v>5343434469098.6143</v>
      </c>
      <c r="I5" s="3">
        <v>18320000</v>
      </c>
      <c r="J5" s="1">
        <f>H5/I5</f>
        <v>291672.18717787194</v>
      </c>
      <c r="K5">
        <f>J5/J4</f>
        <v>13.038015602261011</v>
      </c>
      <c r="L5" t="s">
        <v>17</v>
      </c>
    </row>
    <row r="6" spans="1:12" x14ac:dyDescent="0.3">
      <c r="D6">
        <v>2024</v>
      </c>
      <c r="E6">
        <v>100</v>
      </c>
      <c r="F6">
        <f>LN(E6)</f>
        <v>4.6051701859880918</v>
      </c>
      <c r="G6">
        <f>F6*$B$2+$B$1</f>
        <v>32.010163725353557</v>
      </c>
      <c r="H6" s="2">
        <f>EXP(G6)</f>
        <v>79769610364543.797</v>
      </c>
      <c r="I6" s="3">
        <v>19000000</v>
      </c>
      <c r="J6" s="1">
        <f>H6/I6</f>
        <v>4198400.545502305</v>
      </c>
      <c r="K6">
        <f>J6/J5</f>
        <v>14.394243709435253</v>
      </c>
      <c r="L6" t="s">
        <v>17</v>
      </c>
    </row>
    <row r="7" spans="1:12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34.713437729537347</v>
      </c>
      <c r="H7" s="2">
        <f t="shared" ref="H7:H8" si="2">EXP(G7)</f>
        <v>1190842851074496.8</v>
      </c>
      <c r="I7" s="3">
        <v>19300000</v>
      </c>
      <c r="J7" s="1">
        <f t="shared" ref="J7:J8" si="3">H7/I7</f>
        <v>61701702.128212266</v>
      </c>
    </row>
    <row r="8" spans="1:12" x14ac:dyDescent="0.3">
      <c r="D8">
        <v>2032</v>
      </c>
      <c r="E8">
        <v>400</v>
      </c>
      <c r="F8">
        <f t="shared" si="0"/>
        <v>5.9914645471079817</v>
      </c>
      <c r="G8">
        <f t="shared" si="1"/>
        <v>37.416711733721129</v>
      </c>
      <c r="H8" s="2">
        <f t="shared" si="2"/>
        <v>1.7777530684612062E+16</v>
      </c>
      <c r="I8" s="3">
        <v>19500000</v>
      </c>
      <c r="J8" s="1">
        <f t="shared" si="3"/>
        <v>911668240.236516</v>
      </c>
    </row>
    <row r="9" spans="1:12" x14ac:dyDescent="0.3">
      <c r="H9" s="2"/>
      <c r="I9" s="3"/>
      <c r="J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CE94-5BF6-442E-860B-988342D66EBB}">
  <dimension ref="A1:J9"/>
  <sheetViews>
    <sheetView workbookViewId="0">
      <selection activeCell="C9" sqref="C9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0" x14ac:dyDescent="0.3">
      <c r="A1" t="s">
        <v>10</v>
      </c>
      <c r="B1">
        <v>0.08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0" x14ac:dyDescent="0.3">
      <c r="A2" t="s">
        <v>0</v>
      </c>
      <c r="B2">
        <v>3.5</v>
      </c>
      <c r="D2">
        <v>2011</v>
      </c>
      <c r="E2">
        <v>2.5</v>
      </c>
      <c r="H2" s="2"/>
      <c r="I2" s="3"/>
      <c r="J2" s="1">
        <f>$B$1*E2^($B$2)</f>
        <v>1.9764235376052375</v>
      </c>
    </row>
    <row r="3" spans="1:10" x14ac:dyDescent="0.3">
      <c r="D3">
        <v>2012</v>
      </c>
      <c r="E3">
        <v>8.4</v>
      </c>
      <c r="H3" s="2"/>
      <c r="I3" s="3"/>
      <c r="J3" s="1">
        <f t="shared" ref="J3:J8" si="0">$B$1*E3^($B$2)</f>
        <v>137.4255514075754</v>
      </c>
    </row>
    <row r="4" spans="1:10" x14ac:dyDescent="0.3">
      <c r="A4" t="s">
        <v>9</v>
      </c>
      <c r="B4">
        <v>0.95</v>
      </c>
      <c r="D4">
        <v>2016</v>
      </c>
      <c r="E4">
        <v>25</v>
      </c>
      <c r="H4" s="2"/>
      <c r="I4" s="3"/>
      <c r="J4" s="1">
        <f>$B$1*E4^($B$2)</f>
        <v>6250</v>
      </c>
    </row>
    <row r="5" spans="1:10" x14ac:dyDescent="0.3">
      <c r="D5">
        <v>2020</v>
      </c>
      <c r="E5">
        <v>50</v>
      </c>
      <c r="H5" s="2"/>
      <c r="I5" s="3"/>
      <c r="J5" s="1">
        <f t="shared" si="0"/>
        <v>70710.678118654716</v>
      </c>
    </row>
    <row r="6" spans="1:10" x14ac:dyDescent="0.3">
      <c r="D6">
        <v>2024</v>
      </c>
      <c r="E6">
        <v>100</v>
      </c>
      <c r="H6" s="2"/>
      <c r="I6" s="3"/>
      <c r="J6" s="1">
        <f t="shared" si="0"/>
        <v>800000.00000000047</v>
      </c>
    </row>
    <row r="7" spans="1:10" x14ac:dyDescent="0.3">
      <c r="D7">
        <v>2028</v>
      </c>
      <c r="E7">
        <v>200</v>
      </c>
      <c r="H7" s="2"/>
      <c r="I7" s="3"/>
      <c r="J7" s="1">
        <f t="shared" si="0"/>
        <v>9050966.7991878092</v>
      </c>
    </row>
    <row r="8" spans="1:10" x14ac:dyDescent="0.3">
      <c r="D8">
        <v>2032</v>
      </c>
      <c r="E8">
        <v>400</v>
      </c>
      <c r="H8" s="2"/>
      <c r="I8" s="3"/>
      <c r="J8" s="1">
        <f t="shared" si="0"/>
        <v>102399999.99999994</v>
      </c>
    </row>
    <row r="9" spans="1:10" x14ac:dyDescent="0.3">
      <c r="H9" s="2"/>
      <c r="I9" s="3"/>
      <c r="J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7907-874B-406E-A465-C9F1FCE5B69A}">
  <dimension ref="A1:L9"/>
  <sheetViews>
    <sheetView tabSelected="1" workbookViewId="0">
      <selection activeCell="D16" sqref="D16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2" x14ac:dyDescent="0.3">
      <c r="A1" t="s">
        <v>0</v>
      </c>
      <c r="B1">
        <v>13.91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2" x14ac:dyDescent="0.3">
      <c r="A2" t="s">
        <v>1</v>
      </c>
      <c r="B2">
        <v>3.8</v>
      </c>
      <c r="D2">
        <v>2011</v>
      </c>
      <c r="E2">
        <v>2.5</v>
      </c>
      <c r="F2">
        <f>LN(E2)</f>
        <v>0.91629073187415511</v>
      </c>
      <c r="G2">
        <f>F2*$B$2+$B$1</f>
        <v>17.391904781121788</v>
      </c>
      <c r="H2" s="2">
        <f>EXP(G2)</f>
        <v>35744421.79136537</v>
      </c>
      <c r="I2" s="3">
        <v>7300000</v>
      </c>
      <c r="J2" s="1">
        <f>H2/I2</f>
        <v>4.8964961358034751</v>
      </c>
    </row>
    <row r="3" spans="1:12" x14ac:dyDescent="0.3">
      <c r="D3">
        <v>2012</v>
      </c>
      <c r="E3">
        <v>8.4</v>
      </c>
      <c r="F3">
        <f>LN(E3)</f>
        <v>2.1282317058492679</v>
      </c>
      <c r="G3">
        <f>F3*$B$2+$B$1</f>
        <v>21.997280482227218</v>
      </c>
      <c r="H3" s="2">
        <f>EXP(G3)</f>
        <v>3575176856.5314722</v>
      </c>
      <c r="I3" s="3">
        <v>11000000</v>
      </c>
      <c r="J3" s="1">
        <f>H3/I3</f>
        <v>325.01607786649748</v>
      </c>
      <c r="K3">
        <f>J3/J2</f>
        <v>66.377276495729333</v>
      </c>
      <c r="L3" t="s">
        <v>17</v>
      </c>
    </row>
    <row r="4" spans="1:12" x14ac:dyDescent="0.3">
      <c r="A4" t="s">
        <v>9</v>
      </c>
      <c r="B4">
        <v>0.92</v>
      </c>
      <c r="D4">
        <v>2016</v>
      </c>
      <c r="E4">
        <v>25</v>
      </c>
      <c r="F4">
        <f>LN(E4)</f>
        <v>3.2188758248682006</v>
      </c>
      <c r="G4">
        <f>F4*$B$2+$B$1</f>
        <v>26.141728134499161</v>
      </c>
      <c r="H4" s="2">
        <f>EXP(G4)</f>
        <v>225532054534.59827</v>
      </c>
      <c r="I4" s="3">
        <v>16000000</v>
      </c>
      <c r="J4" s="1">
        <f>H4/I4</f>
        <v>14095.753408412391</v>
      </c>
      <c r="K4">
        <f>J4/J3</f>
        <v>43.369403449026649</v>
      </c>
      <c r="L4" t="s">
        <v>17</v>
      </c>
    </row>
    <row r="5" spans="1:12" x14ac:dyDescent="0.3">
      <c r="D5">
        <v>2020</v>
      </c>
      <c r="E5">
        <v>50</v>
      </c>
      <c r="F5">
        <f>LN(E5)</f>
        <v>3.912023005428146</v>
      </c>
      <c r="G5">
        <f>F5*$B$2+$B$1</f>
        <v>28.775687420626952</v>
      </c>
      <c r="H5" s="2">
        <f>EXP(G5)</f>
        <v>3141392913862.8228</v>
      </c>
      <c r="I5" s="3">
        <v>18320000</v>
      </c>
      <c r="J5" s="1">
        <f>H5/I5</f>
        <v>171473.41232875671</v>
      </c>
      <c r="K5">
        <f>J5/J4</f>
        <v>12.164898701081194</v>
      </c>
      <c r="L5" t="s">
        <v>17</v>
      </c>
    </row>
    <row r="6" spans="1:12" x14ac:dyDescent="0.3">
      <c r="D6">
        <v>2024</v>
      </c>
      <c r="E6">
        <v>100</v>
      </c>
      <c r="F6">
        <f>LN(E6)</f>
        <v>4.6051701859880918</v>
      </c>
      <c r="G6">
        <f>F6*$B$2+$B$1</f>
        <v>31.409646706754749</v>
      </c>
      <c r="H6" s="2">
        <f>EXP(G6)</f>
        <v>43755861931163.977</v>
      </c>
      <c r="I6" s="3">
        <v>19000000</v>
      </c>
      <c r="J6" s="1">
        <f>H6/I6</f>
        <v>2302940.1016402091</v>
      </c>
      <c r="K6">
        <f>J6/J5</f>
        <v>13.43030426912428</v>
      </c>
      <c r="L6" t="s">
        <v>17</v>
      </c>
    </row>
    <row r="7" spans="1:12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34.043605992882533</v>
      </c>
      <c r="H7" s="2">
        <f t="shared" ref="H7:H8" si="2">EXP(G7)</f>
        <v>609467044026910.63</v>
      </c>
      <c r="I7" s="3">
        <v>19300000</v>
      </c>
      <c r="J7" s="1">
        <f t="shared" ref="J7:J8" si="3">H7/I7</f>
        <v>31578603.31745651</v>
      </c>
    </row>
    <row r="8" spans="1:12" x14ac:dyDescent="0.3">
      <c r="D8">
        <v>2032</v>
      </c>
      <c r="E8">
        <v>400</v>
      </c>
      <c r="F8">
        <f t="shared" si="0"/>
        <v>5.9914645471079817</v>
      </c>
      <c r="G8">
        <f t="shared" si="1"/>
        <v>36.677565279010331</v>
      </c>
      <c r="H8" s="2">
        <f t="shared" si="2"/>
        <v>8489150055808859</v>
      </c>
      <c r="I8" s="3">
        <v>19500000</v>
      </c>
      <c r="J8" s="1">
        <f t="shared" si="3"/>
        <v>435341028.50301844</v>
      </c>
    </row>
    <row r="9" spans="1:12" x14ac:dyDescent="0.3">
      <c r="H9" s="2"/>
      <c r="I9" s="3"/>
      <c r="J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AA0DF-8FBA-4DC7-A529-D3360B3C6613}">
  <dimension ref="A1:K9"/>
  <sheetViews>
    <sheetView workbookViewId="0">
      <selection activeCell="K6" sqref="K6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1" x14ac:dyDescent="0.3">
      <c r="A1" t="s">
        <v>0</v>
      </c>
      <c r="B1">
        <v>14.04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1" x14ac:dyDescent="0.3">
      <c r="A2" t="s">
        <v>1</v>
      </c>
      <c r="B2">
        <v>3.76</v>
      </c>
      <c r="D2">
        <v>2011</v>
      </c>
      <c r="E2">
        <v>2.5</v>
      </c>
      <c r="F2">
        <f>LN(E2)</f>
        <v>0.91629073187415511</v>
      </c>
      <c r="G2">
        <f>F2*$B$2+$B$1</f>
        <v>17.485253151846823</v>
      </c>
      <c r="H2" s="2">
        <f>EXP(G2)</f>
        <v>39241803.479877494</v>
      </c>
      <c r="I2" s="3">
        <v>7300000</v>
      </c>
      <c r="J2" s="1">
        <f>H2/I2</f>
        <v>5.3755895177914379</v>
      </c>
    </row>
    <row r="3" spans="1:11" x14ac:dyDescent="0.3">
      <c r="D3">
        <v>2012</v>
      </c>
      <c r="E3">
        <v>8.4</v>
      </c>
      <c r="F3">
        <f>LN(E3)</f>
        <v>2.1282317058492679</v>
      </c>
      <c r="G3">
        <f>F3*$B$2+$B$1</f>
        <v>22.042151213993247</v>
      </c>
      <c r="H3" s="2">
        <f>EXP(G3)</f>
        <v>3739251198.3906922</v>
      </c>
      <c r="I3" s="3">
        <v>11000000</v>
      </c>
      <c r="J3" s="1">
        <f>H3/I3</f>
        <v>339.93192712642656</v>
      </c>
      <c r="K3">
        <f>J3/J2</f>
        <v>63.236213628544995</v>
      </c>
    </row>
    <row r="4" spans="1:11" x14ac:dyDescent="0.3">
      <c r="A4" t="s">
        <v>9</v>
      </c>
      <c r="B4">
        <v>0.95</v>
      </c>
      <c r="D4">
        <v>2016</v>
      </c>
      <c r="E4">
        <v>25</v>
      </c>
      <c r="F4">
        <f>LN(E4)</f>
        <v>3.2188758248682006</v>
      </c>
      <c r="G4">
        <f>F4*$B$2+$B$1</f>
        <v>26.142973101504431</v>
      </c>
      <c r="H4" s="2">
        <f>EXP(G4)</f>
        <v>225813009354.57645</v>
      </c>
      <c r="I4" s="3">
        <v>16000000</v>
      </c>
      <c r="J4" s="1">
        <f>H4/I4</f>
        <v>14113.313084661027</v>
      </c>
      <c r="K4">
        <f>J4/J3</f>
        <v>41.51805687675828</v>
      </c>
    </row>
    <row r="5" spans="1:11" x14ac:dyDescent="0.3">
      <c r="D5">
        <v>2020</v>
      </c>
      <c r="E5">
        <v>50</v>
      </c>
      <c r="F5">
        <f>LN(E5)</f>
        <v>3.912023005428146</v>
      </c>
      <c r="G5">
        <f>F5*$B$2+$B$1</f>
        <v>28.749206500409827</v>
      </c>
      <c r="H5" s="2">
        <f>EXP(G5)</f>
        <v>3059297714263.4126</v>
      </c>
      <c r="I5" s="3">
        <v>18320000</v>
      </c>
      <c r="J5" s="1">
        <f>H5/I5</f>
        <v>166992.23331132164</v>
      </c>
      <c r="K5">
        <f>J5/J4</f>
        <v>11.832248906375938</v>
      </c>
    </row>
    <row r="6" spans="1:11" x14ac:dyDescent="0.3">
      <c r="D6">
        <v>2024</v>
      </c>
      <c r="E6">
        <v>100</v>
      </c>
      <c r="F6">
        <f>LN(E6)</f>
        <v>4.6051701859880918</v>
      </c>
      <c r="G6">
        <f>F6*$B$2+$B$1</f>
        <v>31.355439899315222</v>
      </c>
      <c r="H6" s="2">
        <f>EXP(G6)</f>
        <v>41447135978783.063</v>
      </c>
      <c r="I6" s="3">
        <v>19000000</v>
      </c>
      <c r="J6" s="1">
        <f>H6/I6</f>
        <v>2181428.209409635</v>
      </c>
    </row>
    <row r="7" spans="1:11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33.961673298220617</v>
      </c>
      <c r="H7" s="2">
        <f t="shared" ref="H7:H8" si="2">EXP(G7)</f>
        <v>561522689614189.44</v>
      </c>
      <c r="I7" s="3">
        <v>19300000</v>
      </c>
      <c r="J7" s="1">
        <f t="shared" ref="J7:J8" si="3">H7/I7</f>
        <v>29094439.876382872</v>
      </c>
    </row>
    <row r="8" spans="1:11" x14ac:dyDescent="0.3">
      <c r="D8">
        <v>2032</v>
      </c>
      <c r="E8">
        <v>400</v>
      </c>
      <c r="F8">
        <f t="shared" si="0"/>
        <v>5.9914645471079817</v>
      </c>
      <c r="G8">
        <f t="shared" si="1"/>
        <v>36.567906697126006</v>
      </c>
      <c r="H8" s="2">
        <f t="shared" si="2"/>
        <v>7607467283456165</v>
      </c>
      <c r="I8" s="3">
        <v>19500000</v>
      </c>
      <c r="J8" s="1">
        <f t="shared" si="3"/>
        <v>390126527.35672641</v>
      </c>
    </row>
    <row r="9" spans="1:11" x14ac:dyDescent="0.3">
      <c r="H9" s="2"/>
      <c r="I9" s="3"/>
      <c r="J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B010-4BE3-4A47-92CF-CFA07E491DE5}">
  <dimension ref="A1:J9"/>
  <sheetViews>
    <sheetView workbookViewId="0">
      <selection activeCell="B1" sqref="B1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0" x14ac:dyDescent="0.3">
      <c r="A1" t="s">
        <v>0</v>
      </c>
      <c r="B1">
        <v>16.167999999999999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0" x14ac:dyDescent="0.3">
      <c r="A2" t="s">
        <v>1</v>
      </c>
      <c r="B2">
        <v>2.7280000000000002</v>
      </c>
      <c r="D2">
        <v>2011</v>
      </c>
      <c r="E2">
        <v>2.5</v>
      </c>
      <c r="F2">
        <f>LN(E2)</f>
        <v>0.91629073187415511</v>
      </c>
      <c r="G2">
        <f>F2*$B$2+$B$1</f>
        <v>18.667641116552694</v>
      </c>
      <c r="H2" s="2">
        <f>EXP(G2)</f>
        <v>128012838.36140563</v>
      </c>
      <c r="I2" s="3">
        <v>7300000</v>
      </c>
      <c r="J2" s="1">
        <f>H2/I2</f>
        <v>17.536005254987071</v>
      </c>
    </row>
    <row r="3" spans="1:10" x14ac:dyDescent="0.3">
      <c r="D3">
        <v>2012</v>
      </c>
      <c r="E3">
        <v>8.4</v>
      </c>
      <c r="F3">
        <f>LN(E3)</f>
        <v>2.1282317058492679</v>
      </c>
      <c r="G3">
        <f>F3*$B$2+$B$1</f>
        <v>21.973816093556803</v>
      </c>
      <c r="H3" s="2">
        <f>EXP(G3)</f>
        <v>3492264070.2507501</v>
      </c>
      <c r="I3" s="3">
        <v>11000000</v>
      </c>
      <c r="J3" s="1">
        <f>H3/I3</f>
        <v>317.47855184097727</v>
      </c>
    </row>
    <row r="4" spans="1:10" x14ac:dyDescent="0.3">
      <c r="A4" t="s">
        <v>9</v>
      </c>
      <c r="B4">
        <v>0.71</v>
      </c>
      <c r="D4">
        <v>2016</v>
      </c>
      <c r="E4">
        <v>25</v>
      </c>
      <c r="F4">
        <f>LN(E4)</f>
        <v>3.2188758248682006</v>
      </c>
      <c r="G4">
        <f>F4*$B$2+$B$1</f>
        <v>24.949093250240452</v>
      </c>
      <c r="H4" s="2">
        <f>EXP(G4)</f>
        <v>68431100933.252945</v>
      </c>
      <c r="I4" s="3">
        <v>16000000</v>
      </c>
      <c r="J4" s="1">
        <f>H4/I4</f>
        <v>4276.9438083283094</v>
      </c>
    </row>
    <row r="5" spans="1:10" x14ac:dyDescent="0.3">
      <c r="D5">
        <v>2020</v>
      </c>
      <c r="E5">
        <v>50</v>
      </c>
      <c r="F5">
        <f>LN(E5)</f>
        <v>3.912023005428146</v>
      </c>
      <c r="G5">
        <f>F5*$B$2+$B$1</f>
        <v>26.83999875880798</v>
      </c>
      <c r="H5" s="2">
        <f>EXP(G5)</f>
        <v>453381040925.94366</v>
      </c>
      <c r="I5" s="3">
        <v>18320000</v>
      </c>
      <c r="J5" s="1">
        <f>H5/I5</f>
        <v>24747.873412988192</v>
      </c>
    </row>
    <row r="6" spans="1:10" x14ac:dyDescent="0.3">
      <c r="D6">
        <v>2024</v>
      </c>
      <c r="E6">
        <v>100</v>
      </c>
      <c r="F6">
        <f>LN(E6)</f>
        <v>4.6051701859880918</v>
      </c>
      <c r="G6">
        <f>F6*$B$2+$B$1</f>
        <v>28.730904267375514</v>
      </c>
      <c r="H6" s="2">
        <f>EXP(G6)</f>
        <v>3003815012001.48</v>
      </c>
      <c r="I6" s="3">
        <v>19000000</v>
      </c>
      <c r="J6" s="1">
        <f>H6/I6</f>
        <v>158095.52694744631</v>
      </c>
    </row>
    <row r="7" spans="1:10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30.621809775943042</v>
      </c>
      <c r="H7" s="2">
        <f t="shared" ref="H7:H8" si="2">EXP(G7)</f>
        <v>19901371720127.152</v>
      </c>
      <c r="I7" s="3">
        <v>19300000</v>
      </c>
      <c r="J7" s="1">
        <f t="shared" ref="J7:J8" si="3">H7/I7</f>
        <v>1031159.1564832721</v>
      </c>
    </row>
    <row r="8" spans="1:10" x14ac:dyDescent="0.3">
      <c r="D8">
        <v>2032</v>
      </c>
      <c r="E8">
        <v>400</v>
      </c>
      <c r="F8">
        <f t="shared" si="0"/>
        <v>5.9914645471079817</v>
      </c>
      <c r="G8">
        <f t="shared" si="1"/>
        <v>32.512715284510577</v>
      </c>
      <c r="H8" s="2">
        <f t="shared" si="2"/>
        <v>131853857431379.16</v>
      </c>
      <c r="I8" s="3">
        <v>19500000</v>
      </c>
      <c r="J8" s="1">
        <f t="shared" si="3"/>
        <v>6761736.2785322648</v>
      </c>
    </row>
    <row r="9" spans="1:10" x14ac:dyDescent="0.3">
      <c r="H9" s="2"/>
      <c r="I9" s="3"/>
      <c r="J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0202-FA56-4480-8EEA-05807CAE84C6}">
  <dimension ref="A1:L9"/>
  <sheetViews>
    <sheetView workbookViewId="0">
      <selection activeCell="L6" sqref="L6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2" x14ac:dyDescent="0.3">
      <c r="A1" t="s">
        <v>0</v>
      </c>
      <c r="B1">
        <v>14.16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2" x14ac:dyDescent="0.3">
      <c r="A2" t="s">
        <v>1</v>
      </c>
      <c r="B2">
        <v>3.508</v>
      </c>
      <c r="D2">
        <v>2011</v>
      </c>
      <c r="E2">
        <v>2.5</v>
      </c>
      <c r="F2">
        <f>LN(E2)</f>
        <v>0.91629073187415511</v>
      </c>
      <c r="G2">
        <f>F2*$B$2+$B$1</f>
        <v>17.374347887414537</v>
      </c>
      <c r="H2" s="2">
        <f>EXP(G2)</f>
        <v>35122337.688997366</v>
      </c>
      <c r="I2" s="3">
        <v>7300000</v>
      </c>
      <c r="J2" s="1">
        <f>H2/I2</f>
        <v>4.8112791354790909</v>
      </c>
    </row>
    <row r="3" spans="1:12" x14ac:dyDescent="0.3">
      <c r="D3">
        <v>2012</v>
      </c>
      <c r="E3">
        <v>8.4</v>
      </c>
      <c r="F3">
        <f>LN(E3)</f>
        <v>2.1282317058492679</v>
      </c>
      <c r="G3">
        <f>F3*$B$2+$B$1</f>
        <v>21.625836824119233</v>
      </c>
      <c r="H3" s="2">
        <f>EXP(G3)</f>
        <v>2465934855.1345186</v>
      </c>
      <c r="I3" s="3">
        <v>11000000</v>
      </c>
      <c r="J3" s="1">
        <f>H3/I3</f>
        <v>224.17589592131986</v>
      </c>
      <c r="K3">
        <f>J3/J2</f>
        <v>46.593824554516765</v>
      </c>
      <c r="L3" t="s">
        <v>17</v>
      </c>
    </row>
    <row r="4" spans="1:12" x14ac:dyDescent="0.3">
      <c r="A4" t="s">
        <v>9</v>
      </c>
      <c r="B4">
        <v>0.95</v>
      </c>
      <c r="D4">
        <v>2016</v>
      </c>
      <c r="E4">
        <v>25</v>
      </c>
      <c r="F4">
        <f>LN(E4)</f>
        <v>3.2188758248682006</v>
      </c>
      <c r="G4">
        <f>F4*$B$2+$B$1</f>
        <v>25.45181639363765</v>
      </c>
      <c r="H4" s="2">
        <f>EXP(G4)</f>
        <v>113131465806.94742</v>
      </c>
      <c r="I4" s="3">
        <v>16000000</v>
      </c>
      <c r="J4" s="1">
        <f>H4/I4</f>
        <v>7070.716612934214</v>
      </c>
      <c r="K4">
        <f>J4/J3</f>
        <v>31.540931659378128</v>
      </c>
    </row>
    <row r="5" spans="1:12" x14ac:dyDescent="0.3">
      <c r="D5">
        <v>2020</v>
      </c>
      <c r="E5">
        <v>50</v>
      </c>
      <c r="F5">
        <f>LN(E5)</f>
        <v>3.912023005428146</v>
      </c>
      <c r="G5">
        <f>F5*$B$2+$B$1</f>
        <v>27.883376703041936</v>
      </c>
      <c r="H5" s="2">
        <f>EXP(G5)</f>
        <v>1287053615605.4905</v>
      </c>
      <c r="I5" s="3">
        <v>18320000</v>
      </c>
      <c r="J5" s="1">
        <f>H5/I5</f>
        <v>70254.018319076989</v>
      </c>
      <c r="K5">
        <f>J5/J4</f>
        <v>9.9359120390377083</v>
      </c>
    </row>
    <row r="6" spans="1:12" x14ac:dyDescent="0.3">
      <c r="D6">
        <v>2024</v>
      </c>
      <c r="E6">
        <v>100</v>
      </c>
      <c r="F6">
        <f>LN(E6)</f>
        <v>4.6051701859880918</v>
      </c>
      <c r="G6">
        <f>F6*$B$2+$B$1</f>
        <v>30.314937012446226</v>
      </c>
      <c r="H6" s="2">
        <f>EXP(G6)</f>
        <v>14642318983737.99</v>
      </c>
      <c r="I6" s="3">
        <v>19000000</v>
      </c>
      <c r="J6" s="1">
        <f>H6/I6</f>
        <v>770648.36756515736</v>
      </c>
      <c r="K6">
        <f>J6/J5</f>
        <v>10.96945606819323</v>
      </c>
    </row>
    <row r="7" spans="1:12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32.746497321850512</v>
      </c>
      <c r="H7" s="2">
        <f t="shared" ref="H7:H8" si="2">EXP(G7)</f>
        <v>166580088523095.84</v>
      </c>
      <c r="I7" s="3">
        <v>19300000</v>
      </c>
      <c r="J7" s="1">
        <f t="shared" ref="J7:J8" si="3">H7/I7</f>
        <v>8631092.6695904583</v>
      </c>
      <c r="K7">
        <f>J7/J6</f>
        <v>11.199780642967118</v>
      </c>
    </row>
    <row r="8" spans="1:12" x14ac:dyDescent="0.3">
      <c r="D8">
        <v>2032</v>
      </c>
      <c r="E8">
        <v>400</v>
      </c>
      <c r="F8">
        <f t="shared" si="0"/>
        <v>5.9914645471079817</v>
      </c>
      <c r="G8">
        <f t="shared" si="1"/>
        <v>35.178057631254802</v>
      </c>
      <c r="H8" s="2">
        <f t="shared" si="2"/>
        <v>1895118247538588.3</v>
      </c>
      <c r="I8" s="3">
        <v>19500000</v>
      </c>
      <c r="J8" s="1">
        <f t="shared" si="3"/>
        <v>97185551.155825034</v>
      </c>
    </row>
    <row r="9" spans="1:12" x14ac:dyDescent="0.3">
      <c r="H9" s="2"/>
      <c r="I9" s="3"/>
      <c r="J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F96A-D66A-4727-9FF2-1678B586052F}">
  <dimension ref="A1:L9"/>
  <sheetViews>
    <sheetView workbookViewId="0">
      <selection activeCell="B6" sqref="B6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2" x14ac:dyDescent="0.3">
      <c r="A1" t="s">
        <v>0</v>
      </c>
      <c r="B1">
        <v>14.8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2" x14ac:dyDescent="0.3">
      <c r="A2" t="s">
        <v>1</v>
      </c>
      <c r="B2">
        <v>3.25</v>
      </c>
      <c r="D2">
        <v>2011</v>
      </c>
      <c r="E2">
        <v>2.5</v>
      </c>
      <c r="F2">
        <f>LN(E2)</f>
        <v>0.91629073187415511</v>
      </c>
      <c r="G2">
        <f>F2*$B$2+$B$1</f>
        <v>17.777944878591004</v>
      </c>
      <c r="H2" s="2">
        <f>EXP(G2)</f>
        <v>52585179.454755619</v>
      </c>
      <c r="I2" s="3">
        <v>7300000</v>
      </c>
      <c r="J2" s="1">
        <f>H2/I2</f>
        <v>7.2034492403774824</v>
      </c>
    </row>
    <row r="3" spans="1:12" x14ac:dyDescent="0.3">
      <c r="D3">
        <v>2012</v>
      </c>
      <c r="E3">
        <v>8.4</v>
      </c>
      <c r="F3">
        <f>LN(E3)</f>
        <v>2.1282317058492679</v>
      </c>
      <c r="G3">
        <f>F3*$B$2+$B$1</f>
        <v>21.716753044010122</v>
      </c>
      <c r="H3" s="2">
        <f>EXP(G3)</f>
        <v>2700635746.7795391</v>
      </c>
      <c r="I3" s="3">
        <v>11000000</v>
      </c>
      <c r="J3" s="1">
        <f>H3/I3</f>
        <v>245.51234061632175</v>
      </c>
      <c r="K3">
        <f>J3/J2</f>
        <v>34.082608542606479</v>
      </c>
      <c r="L3" t="s">
        <v>17</v>
      </c>
    </row>
    <row r="4" spans="1:12" x14ac:dyDescent="0.3">
      <c r="A4" t="s">
        <v>9</v>
      </c>
      <c r="B4">
        <v>0.89</v>
      </c>
      <c r="D4">
        <v>2016</v>
      </c>
      <c r="E4">
        <v>25</v>
      </c>
      <c r="F4">
        <f>LN(E4)</f>
        <v>3.2188758248682006</v>
      </c>
      <c r="G4">
        <f>F4*$B$2+$B$1</f>
        <v>25.261346430821654</v>
      </c>
      <c r="H4" s="2">
        <f>EXP(G4)</f>
        <v>93511141897.593796</v>
      </c>
      <c r="I4" s="3">
        <v>16000000</v>
      </c>
      <c r="J4" s="1">
        <f>H4/I4</f>
        <v>5844.4463685996125</v>
      </c>
      <c r="K4">
        <f>J4/J3</f>
        <v>23.805102236115751</v>
      </c>
    </row>
    <row r="5" spans="1:12" x14ac:dyDescent="0.3">
      <c r="D5">
        <v>2020</v>
      </c>
      <c r="E5">
        <v>50</v>
      </c>
      <c r="F5">
        <f>LN(E5)</f>
        <v>3.912023005428146</v>
      </c>
      <c r="G5">
        <f>F5*$B$2+$B$1</f>
        <v>27.514074767641475</v>
      </c>
      <c r="H5" s="2">
        <f>EXP(G5)</f>
        <v>889632922213.17981</v>
      </c>
      <c r="I5" s="3">
        <v>18320000</v>
      </c>
      <c r="J5" s="1">
        <f>H5/I5</f>
        <v>48560.749029103703</v>
      </c>
      <c r="K5">
        <f>J5/J4</f>
        <v>8.3088706725080854</v>
      </c>
    </row>
    <row r="6" spans="1:12" x14ac:dyDescent="0.3">
      <c r="D6">
        <v>2024</v>
      </c>
      <c r="E6">
        <v>100</v>
      </c>
      <c r="F6">
        <f>LN(E6)</f>
        <v>4.6051701859880918</v>
      </c>
      <c r="G6">
        <f>F6*$B$2+$B$1</f>
        <v>29.7668031044613</v>
      </c>
      <c r="H6" s="2">
        <f>EXP(G6)</f>
        <v>8463662406692.627</v>
      </c>
      <c r="I6" s="3">
        <v>19000000</v>
      </c>
      <c r="J6" s="1">
        <f>H6/I6</f>
        <v>445455.91614171723</v>
      </c>
      <c r="K6">
        <f>J6/J5</f>
        <v>9.173168146042066</v>
      </c>
    </row>
    <row r="7" spans="1:12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32.019531441281117</v>
      </c>
      <c r="H7" s="2">
        <f t="shared" ref="H7:H8" si="2">EXP(G7)</f>
        <v>80520380424159.031</v>
      </c>
      <c r="I7" s="3">
        <v>19300000</v>
      </c>
      <c r="J7" s="1">
        <f t="shared" ref="J7:J8" si="3">H7/I7</f>
        <v>4172040.4364849241</v>
      </c>
      <c r="K7">
        <f>J7/J6</f>
        <v>9.3657762425084332</v>
      </c>
    </row>
    <row r="8" spans="1:12" x14ac:dyDescent="0.3">
      <c r="D8">
        <v>2032</v>
      </c>
      <c r="E8">
        <v>400</v>
      </c>
      <c r="F8">
        <f t="shared" si="0"/>
        <v>5.9914645471079817</v>
      </c>
      <c r="G8">
        <f t="shared" si="1"/>
        <v>34.272259778100945</v>
      </c>
      <c r="H8" s="2">
        <f t="shared" si="2"/>
        <v>766043274425090.63</v>
      </c>
      <c r="I8" s="3">
        <v>19500000</v>
      </c>
      <c r="J8" s="1">
        <f t="shared" si="3"/>
        <v>39284270.483337983</v>
      </c>
    </row>
    <row r="9" spans="1:12" x14ac:dyDescent="0.3">
      <c r="H9" s="2"/>
      <c r="I9" s="3"/>
      <c r="J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D919C-5E5E-4E4C-83B2-3394E82DAF02}">
  <dimension ref="A1:J16"/>
  <sheetViews>
    <sheetView workbookViewId="0">
      <selection activeCell="C5" sqref="C5"/>
    </sheetView>
  </sheetViews>
  <sheetFormatPr defaultRowHeight="14.4" x14ac:dyDescent="0.3"/>
  <cols>
    <col min="3" max="3" width="9.44140625" customWidth="1"/>
    <col min="5" max="5" width="12" customWidth="1"/>
    <col min="6" max="6" width="14.21875" customWidth="1"/>
    <col min="7" max="7" width="16" customWidth="1"/>
    <col min="8" max="8" width="24.109375" customWidth="1"/>
    <col min="9" max="9" width="12.5546875" customWidth="1"/>
    <col min="10" max="10" width="17.109375" customWidth="1"/>
  </cols>
  <sheetData>
    <row r="1" spans="1:10" x14ac:dyDescent="0.3">
      <c r="A1" t="s">
        <v>0</v>
      </c>
      <c r="B1">
        <f>D14+D15</f>
        <v>14.215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0" x14ac:dyDescent="0.3">
      <c r="A2" t="s">
        <v>1</v>
      </c>
      <c r="B2">
        <f>E14+E15</f>
        <v>3.3119999999999998</v>
      </c>
      <c r="D2">
        <v>2011</v>
      </c>
      <c r="E2">
        <v>2.5</v>
      </c>
      <c r="F2">
        <f>LN(E2)</f>
        <v>0.91629073187415511</v>
      </c>
      <c r="G2">
        <f>F2*$B$2+$B$1</f>
        <v>17.249754903967201</v>
      </c>
      <c r="H2" s="2">
        <f>EXP(G2)</f>
        <v>31007972.412026331</v>
      </c>
      <c r="I2" s="3">
        <v>7300000</v>
      </c>
      <c r="J2" s="1">
        <f>H2/I2</f>
        <v>4.2476674537022374</v>
      </c>
    </row>
    <row r="3" spans="1:10" x14ac:dyDescent="0.3">
      <c r="D3">
        <v>2012</v>
      </c>
      <c r="E3">
        <v>8.4</v>
      </c>
      <c r="F3">
        <f>LN(E3)</f>
        <v>2.1282317058492679</v>
      </c>
      <c r="G3">
        <f>F3*$B$2+$B$1</f>
        <v>21.263703409772774</v>
      </c>
      <c r="H3" s="2">
        <f>EXP(G3)</f>
        <v>1716757904.4634647</v>
      </c>
      <c r="I3" s="3">
        <v>11000000</v>
      </c>
      <c r="J3" s="1">
        <f>H3/I3</f>
        <v>156.06890040576951</v>
      </c>
    </row>
    <row r="4" spans="1:10" x14ac:dyDescent="0.3">
      <c r="A4" t="s">
        <v>9</v>
      </c>
      <c r="B4">
        <v>0.95</v>
      </c>
      <c r="D4">
        <v>2016</v>
      </c>
      <c r="E4">
        <v>25</v>
      </c>
      <c r="F4">
        <f>LN(E4)</f>
        <v>3.2188758248682006</v>
      </c>
      <c r="G4">
        <f>F4*$B$2+$B$1</f>
        <v>24.875916731963478</v>
      </c>
      <c r="H4" s="2">
        <f>EXP(G4)</f>
        <v>63602380253.614838</v>
      </c>
      <c r="I4" s="3">
        <v>16000000</v>
      </c>
      <c r="J4" s="1">
        <f>H4/I4</f>
        <v>3975.1487658509272</v>
      </c>
    </row>
    <row r="5" spans="1:10" x14ac:dyDescent="0.3">
      <c r="D5">
        <v>2020</v>
      </c>
      <c r="E5">
        <v>50</v>
      </c>
      <c r="F5">
        <f>LN(E5)</f>
        <v>3.912023005428146</v>
      </c>
      <c r="G5">
        <f>F5*$B$2+$B$1</f>
        <v>27.171620193978018</v>
      </c>
      <c r="H5" s="2">
        <f>EXP(G5)</f>
        <v>631661946986.68079</v>
      </c>
      <c r="I5" s="3">
        <v>18320000</v>
      </c>
      <c r="J5" s="1">
        <f>H5/I5</f>
        <v>34479.363918486939</v>
      </c>
    </row>
    <row r="6" spans="1:10" x14ac:dyDescent="0.3">
      <c r="D6">
        <v>2024</v>
      </c>
      <c r="E6">
        <v>100</v>
      </c>
      <c r="F6">
        <f>LN(E6)</f>
        <v>4.6051701859880918</v>
      </c>
      <c r="G6">
        <f>F6*$B$2+$B$1</f>
        <v>29.467323655992558</v>
      </c>
      <c r="H6" s="2">
        <f>EXP(G6)</f>
        <v>6273300050721.4092</v>
      </c>
      <c r="I6" s="3">
        <v>19000000</v>
      </c>
      <c r="J6" s="1">
        <f>H6/I6</f>
        <v>330173.68688007415</v>
      </c>
    </row>
    <row r="7" spans="1:10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31.763027118007095</v>
      </c>
      <c r="H7" s="2">
        <f t="shared" ref="H7:H8" si="2">EXP(G7)</f>
        <v>62302777164461.547</v>
      </c>
      <c r="I7" s="3">
        <v>19300000</v>
      </c>
      <c r="J7" s="1">
        <f t="shared" ref="J7:J8" si="3">H7/I7</f>
        <v>3228123.1691430854</v>
      </c>
    </row>
    <row r="8" spans="1:10" x14ac:dyDescent="0.3">
      <c r="D8">
        <v>2032</v>
      </c>
      <c r="E8">
        <v>400</v>
      </c>
      <c r="F8">
        <f t="shared" si="0"/>
        <v>5.9914645471079817</v>
      </c>
      <c r="G8">
        <f t="shared" si="1"/>
        <v>34.058730580021631</v>
      </c>
      <c r="H8" s="2">
        <f t="shared" si="2"/>
        <v>618755042963101.38</v>
      </c>
      <c r="I8" s="3">
        <v>19500000</v>
      </c>
      <c r="J8" s="1">
        <f t="shared" si="3"/>
        <v>31731027.844261609</v>
      </c>
    </row>
    <row r="11" spans="1:10" x14ac:dyDescent="0.3">
      <c r="D11" t="s">
        <v>11</v>
      </c>
      <c r="E11" t="s">
        <v>12</v>
      </c>
    </row>
    <row r="12" spans="1:10" x14ac:dyDescent="0.3">
      <c r="C12" t="s">
        <v>13</v>
      </c>
      <c r="D12">
        <v>14.05</v>
      </c>
      <c r="E12">
        <v>3.9</v>
      </c>
      <c r="F12">
        <f>E12-E13</f>
        <v>0.14000000000000012</v>
      </c>
      <c r="G12">
        <v>-0.01</v>
      </c>
    </row>
    <row r="13" spans="1:10" x14ac:dyDescent="0.3">
      <c r="C13" t="s">
        <v>14</v>
      </c>
      <c r="D13">
        <v>14.04</v>
      </c>
      <c r="E13">
        <v>3.76</v>
      </c>
      <c r="F13">
        <f>E13-E14</f>
        <v>0.25199999999999978</v>
      </c>
      <c r="G13">
        <v>0.12</v>
      </c>
    </row>
    <row r="14" spans="1:10" x14ac:dyDescent="0.3">
      <c r="C14" t="s">
        <v>15</v>
      </c>
      <c r="D14">
        <v>14.16</v>
      </c>
      <c r="E14">
        <v>3.508</v>
      </c>
      <c r="F14">
        <f>(F12+F13)/2</f>
        <v>0.19599999999999995</v>
      </c>
    </row>
    <row r="15" spans="1:10" x14ac:dyDescent="0.3">
      <c r="C15" t="s">
        <v>16</v>
      </c>
      <c r="D15">
        <v>5.5E-2</v>
      </c>
      <c r="E15">
        <v>-0.19600000000000001</v>
      </c>
    </row>
    <row r="16" spans="1:10" x14ac:dyDescent="0.3">
      <c r="E16">
        <f>E14+E15</f>
        <v>3.3119999999999998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A829-DCAC-4B59-B2AC-7D22203C40B8}">
  <dimension ref="A1:J9"/>
  <sheetViews>
    <sheetView workbookViewId="0">
      <selection activeCell="L9" sqref="L9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0" x14ac:dyDescent="0.3">
      <c r="A1" t="s">
        <v>0</v>
      </c>
      <c r="B1">
        <v>14.6227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0" x14ac:dyDescent="0.3">
      <c r="A2" t="s">
        <v>1</v>
      </c>
      <c r="B2">
        <v>3.3195399999999999</v>
      </c>
      <c r="D2">
        <v>2011</v>
      </c>
      <c r="E2">
        <v>2.5</v>
      </c>
      <c r="F2">
        <f>LN(E2)</f>
        <v>0.91629073187415511</v>
      </c>
      <c r="G2">
        <f>F2*$B$2+$B$1</f>
        <v>17.664363736085534</v>
      </c>
      <c r="H2" s="2">
        <f>EXP(G2)</f>
        <v>46939201.449354671</v>
      </c>
      <c r="I2" s="3">
        <v>7300000</v>
      </c>
      <c r="J2" s="1">
        <f>H2/I2</f>
        <v>6.4300275958020094</v>
      </c>
    </row>
    <row r="3" spans="1:10" x14ac:dyDescent="0.3">
      <c r="D3">
        <v>2012</v>
      </c>
      <c r="E3">
        <v>8.4</v>
      </c>
      <c r="F3">
        <f>LN(E3)</f>
        <v>2.1282317058492679</v>
      </c>
      <c r="G3">
        <f>F3*$B$2+$B$1</f>
        <v>21.68745027683488</v>
      </c>
      <c r="H3" s="2">
        <f>EXP(G3)</f>
        <v>2622647857.0468516</v>
      </c>
      <c r="I3" s="3">
        <v>11000000</v>
      </c>
      <c r="J3" s="1">
        <f>H3/I3</f>
        <v>238.42253245880468</v>
      </c>
    </row>
    <row r="4" spans="1:10" x14ac:dyDescent="0.3">
      <c r="A4" t="s">
        <v>9</v>
      </c>
      <c r="B4">
        <v>0.95</v>
      </c>
      <c r="D4">
        <v>2016</v>
      </c>
      <c r="E4">
        <v>25</v>
      </c>
      <c r="F4">
        <f>LN(E4)</f>
        <v>3.2188758248682006</v>
      </c>
      <c r="G4">
        <f>F4*$B$2+$B$1</f>
        <v>25.307887055682986</v>
      </c>
      <c r="H4" s="2">
        <f>EXP(G4)</f>
        <v>97966072400.691437</v>
      </c>
      <c r="I4" s="3">
        <v>16000000</v>
      </c>
      <c r="J4" s="1">
        <f>H4/I4</f>
        <v>6122.8795250432149</v>
      </c>
    </row>
    <row r="5" spans="1:10" x14ac:dyDescent="0.3">
      <c r="D5">
        <v>2020</v>
      </c>
      <c r="E5">
        <v>50</v>
      </c>
      <c r="F5">
        <f>LN(E5)</f>
        <v>3.912023005428146</v>
      </c>
      <c r="G5">
        <f>F5*$B$2+$B$1</f>
        <v>27.608816847438945</v>
      </c>
      <c r="H5" s="2">
        <f>EXP(G5)</f>
        <v>978040431803.37549</v>
      </c>
      <c r="I5" s="3">
        <v>18320000</v>
      </c>
      <c r="J5" s="1">
        <f>H5/I5</f>
        <v>53386.486452149315</v>
      </c>
    </row>
    <row r="6" spans="1:10" x14ac:dyDescent="0.3">
      <c r="D6">
        <v>2024</v>
      </c>
      <c r="E6">
        <v>100</v>
      </c>
      <c r="F6">
        <f>LN(E6)</f>
        <v>4.6051701859880918</v>
      </c>
      <c r="G6">
        <f>F6*$B$2+$B$1</f>
        <v>29.909746639194911</v>
      </c>
      <c r="H6" s="2">
        <f>EXP(G6)</f>
        <v>9764228194529.4004</v>
      </c>
      <c r="I6" s="3">
        <v>19000000</v>
      </c>
      <c r="J6" s="1">
        <f>H6/I6</f>
        <v>513906.74708049477</v>
      </c>
    </row>
    <row r="7" spans="1:10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32.210676430950869</v>
      </c>
      <c r="H7" s="2">
        <f t="shared" ref="H7:H8" si="2">EXP(G7)</f>
        <v>97480788252329.953</v>
      </c>
      <c r="I7" s="3">
        <v>19300000</v>
      </c>
      <c r="J7" s="1">
        <f t="shared" ref="J7:J8" si="3">H7/I7</f>
        <v>5050818.0441621738</v>
      </c>
    </row>
    <row r="8" spans="1:10" x14ac:dyDescent="0.3">
      <c r="D8">
        <v>2032</v>
      </c>
      <c r="E8">
        <v>400</v>
      </c>
      <c r="F8">
        <f t="shared" si="0"/>
        <v>5.9914645471079817</v>
      </c>
      <c r="G8">
        <f t="shared" si="1"/>
        <v>34.511606222706831</v>
      </c>
      <c r="H8" s="2">
        <f t="shared" si="2"/>
        <v>973195616589500.25</v>
      </c>
      <c r="I8" s="3">
        <v>19500000</v>
      </c>
      <c r="J8" s="1">
        <f t="shared" si="3"/>
        <v>49907467.517410271</v>
      </c>
    </row>
    <row r="9" spans="1:10" x14ac:dyDescent="0.3">
      <c r="H9" s="2"/>
      <c r="I9" s="3"/>
      <c r="J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7DE5-B583-49FC-AC84-35AEDF740846}">
  <dimension ref="A1:J9"/>
  <sheetViews>
    <sheetView workbookViewId="0">
      <selection activeCell="G22" sqref="G22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0" x14ac:dyDescent="0.3">
      <c r="A1" t="s">
        <v>0</v>
      </c>
      <c r="B1">
        <v>-1.84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0" x14ac:dyDescent="0.3">
      <c r="A2" t="s">
        <v>1</v>
      </c>
      <c r="B2">
        <v>3.36</v>
      </c>
      <c r="D2">
        <v>2011</v>
      </c>
      <c r="E2">
        <v>2.5</v>
      </c>
      <c r="H2" s="2"/>
      <c r="I2" s="3"/>
      <c r="J2" s="1">
        <f>EXP($B$1)*E2^($B$2)</f>
        <v>3.451251293649308</v>
      </c>
    </row>
    <row r="3" spans="1:10" x14ac:dyDescent="0.3">
      <c r="D3">
        <v>2012</v>
      </c>
      <c r="E3">
        <v>8.4</v>
      </c>
      <c r="H3" s="2"/>
      <c r="I3" s="3"/>
      <c r="J3" s="1">
        <f t="shared" ref="J3:J8" si="0">EXP($B$1)*E3^($B$2)</f>
        <v>202.52402705947495</v>
      </c>
    </row>
    <row r="4" spans="1:10" x14ac:dyDescent="0.3">
      <c r="A4" t="s">
        <v>9</v>
      </c>
      <c r="B4">
        <v>0.95</v>
      </c>
      <c r="D4">
        <v>2016</v>
      </c>
      <c r="E4">
        <v>25</v>
      </c>
      <c r="H4" s="2"/>
      <c r="I4" s="3"/>
      <c r="J4" s="1">
        <f t="shared" si="0"/>
        <v>7906.3599501941253</v>
      </c>
    </row>
    <row r="5" spans="1:10" x14ac:dyDescent="0.3">
      <c r="D5">
        <v>2020</v>
      </c>
      <c r="E5">
        <v>50</v>
      </c>
      <c r="H5" s="2"/>
      <c r="I5" s="3"/>
      <c r="J5" s="1">
        <f t="shared" si="0"/>
        <v>81177.816924266299</v>
      </c>
    </row>
    <row r="6" spans="1:10" x14ac:dyDescent="0.3">
      <c r="D6">
        <v>2024</v>
      </c>
      <c r="E6">
        <v>100</v>
      </c>
      <c r="H6" s="2"/>
      <c r="I6" s="3"/>
      <c r="J6" s="1">
        <f t="shared" si="0"/>
        <v>833485.70038579102</v>
      </c>
    </row>
    <row r="7" spans="1:10" x14ac:dyDescent="0.3">
      <c r="D7">
        <v>2028</v>
      </c>
      <c r="E7">
        <v>200</v>
      </c>
      <c r="H7" s="2"/>
      <c r="I7" s="3"/>
      <c r="J7" s="1">
        <f t="shared" si="0"/>
        <v>8557737.064987801</v>
      </c>
    </row>
    <row r="8" spans="1:10" x14ac:dyDescent="0.3">
      <c r="D8">
        <v>2032</v>
      </c>
      <c r="E8">
        <v>400</v>
      </c>
      <c r="H8" s="2"/>
      <c r="I8" s="3"/>
      <c r="J8" s="1">
        <f t="shared" si="0"/>
        <v>87865770.989914492</v>
      </c>
    </row>
    <row r="9" spans="1:10" x14ac:dyDescent="0.3">
      <c r="H9" s="2"/>
      <c r="I9" s="3"/>
      <c r="J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PreHalving</vt:lpstr>
      <vt:lpstr>PreHalving - Remove Outliers</vt:lpstr>
      <vt:lpstr>PreHalving + First Halving</vt:lpstr>
      <vt:lpstr>First Halving + Second Halving</vt:lpstr>
      <vt:lpstr>AllData</vt:lpstr>
      <vt:lpstr>AllData - Remove early</vt:lpstr>
      <vt:lpstr>Trend</vt:lpstr>
      <vt:lpstr>PlanB</vt:lpstr>
      <vt:lpstr>April 2020</vt:lpstr>
      <vt:lpstr>April 2020 - PlanB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ZBook15</dc:creator>
  <cp:lastModifiedBy>ZBook15</cp:lastModifiedBy>
  <dcterms:created xsi:type="dcterms:W3CDTF">2020-04-13T18:30:13Z</dcterms:created>
  <dcterms:modified xsi:type="dcterms:W3CDTF">2020-04-16T01:52:00Z</dcterms:modified>
</cp:coreProperties>
</file>