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5633760F-6D3C-417C-B452-CC75D00BAC42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M_Q1'21_Beauty" sheetId="11" r:id="rId1"/>
    <sheet name="Flowchart" sheetId="12" r:id="rId2"/>
    <sheet name="Heating Brush Q4" sheetId="14" state="hidden" r:id="rId3"/>
    <sheet name="Straightener Q4" sheetId="15" state="hidden" r:id="rId4"/>
    <sheet name="Hair Dryer Q4" sheetId="16" state="hidden" r:id="rId5"/>
    <sheet name="Femdep Q4" sheetId="17" state="hidden" r:id="rId6"/>
    <sheet name="AC" sheetId="9" state="hidden" r:id="rId7"/>
  </sheets>
  <definedNames>
    <definedName name="_xlnm._FilterDatabase" localSheetId="0" hidden="1">'SEM_Q1''21_Beauty'!$A$9:$AF$68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25" i="14" l="1"/>
  <c r="AB125" i="14" s="1"/>
  <c r="X125" i="14"/>
  <c r="V125" i="14"/>
  <c r="Y125" i="14" s="1"/>
  <c r="T125" i="14"/>
  <c r="S125" i="14"/>
  <c r="AC125" i="14" s="1"/>
  <c r="AA124" i="14"/>
  <c r="AB124" i="14" s="1"/>
  <c r="Y124" i="14"/>
  <c r="X124" i="14"/>
  <c r="V124" i="14"/>
  <c r="T124" i="14"/>
  <c r="W124" i="14" s="1"/>
  <c r="S124" i="14"/>
  <c r="Z124" i="14" s="1"/>
  <c r="AA125" i="15"/>
  <c r="AB125" i="15" s="1"/>
  <c r="X125" i="15"/>
  <c r="V125" i="15"/>
  <c r="Y125" i="15" s="1"/>
  <c r="T125" i="15"/>
  <c r="S125" i="15"/>
  <c r="AC125" i="15" s="1"/>
  <c r="AA124" i="15"/>
  <c r="AB124" i="15" s="1"/>
  <c r="Y124" i="15"/>
  <c r="X124" i="15"/>
  <c r="V124" i="15"/>
  <c r="T124" i="15"/>
  <c r="W124" i="15" s="1"/>
  <c r="S124" i="15"/>
  <c r="AC124" i="15" s="1"/>
  <c r="AA125" i="16"/>
  <c r="AB125" i="16" s="1"/>
  <c r="X125" i="16"/>
  <c r="V125" i="16"/>
  <c r="W125" i="16" s="1"/>
  <c r="T125" i="16"/>
  <c r="S125" i="16"/>
  <c r="AC125" i="16" s="1"/>
  <c r="AA124" i="16"/>
  <c r="AB124" i="16" s="1"/>
  <c r="Y124" i="16"/>
  <c r="X124" i="16"/>
  <c r="V124" i="16"/>
  <c r="W124" i="16" s="1"/>
  <c r="T124" i="16"/>
  <c r="S124" i="16"/>
  <c r="Z124" i="16" s="1"/>
  <c r="AA125" i="17"/>
  <c r="AA124" i="17"/>
  <c r="X125" i="17"/>
  <c r="X124" i="17"/>
  <c r="V125" i="17"/>
  <c r="V124" i="17"/>
  <c r="T125" i="17"/>
  <c r="T124" i="17"/>
  <c r="S125" i="17"/>
  <c r="S124" i="17"/>
  <c r="BI32" i="12"/>
  <c r="BI29" i="12"/>
  <c r="BI27" i="12"/>
  <c r="BI24" i="12"/>
  <c r="BI23" i="12"/>
  <c r="BI15" i="12"/>
  <c r="BJ15" i="12" s="1"/>
  <c r="BI12" i="12"/>
  <c r="BJ12" i="12" s="1"/>
  <c r="BI10" i="12"/>
  <c r="BI7" i="12"/>
  <c r="BI6" i="12"/>
  <c r="BJ6" i="12" s="1"/>
  <c r="AK32" i="12"/>
  <c r="AK29" i="12"/>
  <c r="AK27" i="12"/>
  <c r="AK24" i="12"/>
  <c r="AK23" i="12"/>
  <c r="AJ32" i="12"/>
  <c r="AJ29" i="12"/>
  <c r="AJ27" i="12"/>
  <c r="AJ24" i="12"/>
  <c r="AJ23" i="12"/>
  <c r="AJ15" i="12"/>
  <c r="AK15" i="12" s="1"/>
  <c r="AJ12" i="12"/>
  <c r="AJ10" i="12"/>
  <c r="AK10" i="12" s="1"/>
  <c r="AJ7" i="12"/>
  <c r="AK7" i="12" s="1"/>
  <c r="AJ6" i="12"/>
  <c r="AK6" i="12" s="1"/>
  <c r="BJ10" i="12"/>
  <c r="BJ7" i="12"/>
  <c r="BJ9" i="12" s="1"/>
  <c r="AW8" i="12"/>
  <c r="AW9" i="12"/>
  <c r="AW11" i="12"/>
  <c r="AW13" i="12"/>
  <c r="AW14" i="12"/>
  <c r="AW16" i="12"/>
  <c r="AK12" i="12"/>
  <c r="X32" i="12"/>
  <c r="X29" i="12"/>
  <c r="X27" i="12"/>
  <c r="X24" i="12"/>
  <c r="X23" i="12"/>
  <c r="W32" i="12"/>
  <c r="W29" i="12"/>
  <c r="W27" i="12"/>
  <c r="W24" i="12"/>
  <c r="W23" i="12"/>
  <c r="W15" i="12"/>
  <c r="X15" i="12" s="1"/>
  <c r="W12" i="12"/>
  <c r="X12" i="12" s="1"/>
  <c r="W10" i="12"/>
  <c r="X10" i="12" s="1"/>
  <c r="W7" i="12"/>
  <c r="X7" i="12" s="1"/>
  <c r="X9" i="12" s="1"/>
  <c r="W6" i="12"/>
  <c r="X6" i="12" s="1"/>
  <c r="U124" i="14" l="1"/>
  <c r="AC124" i="14"/>
  <c r="Z125" i="14"/>
  <c r="W125" i="14"/>
  <c r="U125" i="14"/>
  <c r="W125" i="15"/>
  <c r="Z124" i="15"/>
  <c r="U124" i="15"/>
  <c r="Z125" i="15"/>
  <c r="U125" i="15"/>
  <c r="Y125" i="16"/>
  <c r="U124" i="16"/>
  <c r="AC124" i="16"/>
  <c r="Z125" i="16"/>
  <c r="U125" i="16"/>
  <c r="AK14" i="12"/>
  <c r="BJ14" i="12"/>
  <c r="X16" i="12"/>
  <c r="AK16" i="12"/>
  <c r="BJ16" i="12"/>
  <c r="BJ13" i="12"/>
  <c r="AK9" i="12"/>
  <c r="AK13" i="12"/>
  <c r="BJ11" i="12"/>
  <c r="BJ8" i="12"/>
  <c r="AK11" i="12"/>
  <c r="AK8" i="12"/>
  <c r="X11" i="12"/>
  <c r="X13" i="12"/>
  <c r="X14" i="12"/>
  <c r="X8" i="12"/>
  <c r="L32" i="12"/>
  <c r="L29" i="12"/>
  <c r="L27" i="12"/>
  <c r="L24" i="12"/>
  <c r="L23" i="12"/>
  <c r="K32" i="12"/>
  <c r="BU32" i="12" s="1"/>
  <c r="K29" i="12"/>
  <c r="BU29" i="12" s="1"/>
  <c r="K27" i="12"/>
  <c r="BU27" i="12" s="1"/>
  <c r="BU26" i="12" s="1"/>
  <c r="K24" i="12"/>
  <c r="BU24" i="12" s="1"/>
  <c r="K23" i="12"/>
  <c r="BU23" i="12" s="1"/>
  <c r="AB115" i="17"/>
  <c r="Z115" i="17"/>
  <c r="Y115" i="17"/>
  <c r="W115" i="17"/>
  <c r="U115" i="17"/>
  <c r="S115" i="17"/>
  <c r="BJ23" i="12" s="1"/>
  <c r="AB115" i="16"/>
  <c r="Z115" i="16"/>
  <c r="Y115" i="16"/>
  <c r="W115" i="16"/>
  <c r="U115" i="16"/>
  <c r="S115" i="16"/>
  <c r="AB115" i="15"/>
  <c r="Z115" i="15"/>
  <c r="Y115" i="15"/>
  <c r="W115" i="15"/>
  <c r="U115" i="15"/>
  <c r="S115" i="15"/>
  <c r="AC115" i="14"/>
  <c r="AA115" i="14"/>
  <c r="X115" i="14"/>
  <c r="V115" i="14"/>
  <c r="T115" i="14"/>
  <c r="AB115" i="14"/>
  <c r="Z115" i="14"/>
  <c r="Y115" i="14"/>
  <c r="W115" i="14"/>
  <c r="U115" i="14"/>
  <c r="S115" i="14"/>
  <c r="K15" i="12"/>
  <c r="BU15" i="12" s="1"/>
  <c r="K12" i="12"/>
  <c r="BU12" i="12" s="1"/>
  <c r="K10" i="12"/>
  <c r="BU10" i="12" s="1"/>
  <c r="K7" i="12"/>
  <c r="BU7" i="12" s="1"/>
  <c r="K6" i="12"/>
  <c r="L6" i="12" s="1"/>
  <c r="BV6" i="12" s="1"/>
  <c r="H111" i="15"/>
  <c r="AL111" i="17"/>
  <c r="AL113" i="17" s="1"/>
  <c r="AI111" i="17"/>
  <c r="AI113" i="17" s="1"/>
  <c r="AG111" i="17"/>
  <c r="AG113" i="17" s="1"/>
  <c r="AE111" i="17"/>
  <c r="AE113" i="17" s="1"/>
  <c r="AD111" i="17"/>
  <c r="AD113" i="17" s="1"/>
  <c r="AA111" i="17"/>
  <c r="AA113" i="17" s="1"/>
  <c r="X111" i="17"/>
  <c r="X113" i="17" s="1"/>
  <c r="V111" i="17"/>
  <c r="V113" i="17" s="1"/>
  <c r="T111" i="17"/>
  <c r="T113" i="17" s="1"/>
  <c r="S111" i="17"/>
  <c r="S113" i="17" s="1"/>
  <c r="P111" i="17"/>
  <c r="M111" i="17"/>
  <c r="K111" i="17"/>
  <c r="I111" i="17"/>
  <c r="H111" i="17"/>
  <c r="AL111" i="16"/>
  <c r="AL113" i="16" s="1"/>
  <c r="AI111" i="16"/>
  <c r="AI113" i="16" s="1"/>
  <c r="AG111" i="16"/>
  <c r="AG113" i="16" s="1"/>
  <c r="AE111" i="16"/>
  <c r="AE113" i="16" s="1"/>
  <c r="AD111" i="16"/>
  <c r="AD113" i="16" s="1"/>
  <c r="AA111" i="16"/>
  <c r="AA113" i="16" s="1"/>
  <c r="X111" i="16"/>
  <c r="X113" i="16" s="1"/>
  <c r="V111" i="16"/>
  <c r="V113" i="16" s="1"/>
  <c r="T111" i="16"/>
  <c r="T113" i="16" s="1"/>
  <c r="S111" i="16"/>
  <c r="S113" i="16" s="1"/>
  <c r="P111" i="16"/>
  <c r="M111" i="16"/>
  <c r="K111" i="16"/>
  <c r="I111" i="16"/>
  <c r="H111" i="16"/>
  <c r="S111" i="14"/>
  <c r="AL111" i="14"/>
  <c r="AL113" i="14" s="1"/>
  <c r="AI111" i="14"/>
  <c r="AI113" i="14" s="1"/>
  <c r="AG111" i="14"/>
  <c r="AG113" i="14" s="1"/>
  <c r="AJ113" i="14" s="1"/>
  <c r="AE111" i="14"/>
  <c r="AE113" i="14" s="1"/>
  <c r="AD111" i="14"/>
  <c r="AD113" i="14" s="1"/>
  <c r="AA111" i="14"/>
  <c r="AA113" i="14" s="1"/>
  <c r="X111" i="14"/>
  <c r="X113" i="14" s="1"/>
  <c r="V111" i="14"/>
  <c r="V113" i="14" s="1"/>
  <c r="T111" i="14"/>
  <c r="T113" i="14" s="1"/>
  <c r="P111" i="14"/>
  <c r="M111" i="14"/>
  <c r="K111" i="14"/>
  <c r="I111" i="14"/>
  <c r="H111" i="14"/>
  <c r="S111" i="15"/>
  <c r="S113" i="15" s="1"/>
  <c r="AL111" i="15"/>
  <c r="AL113" i="15" s="1"/>
  <c r="AI111" i="15"/>
  <c r="AG111" i="15"/>
  <c r="AE111" i="15"/>
  <c r="AD111" i="15"/>
  <c r="AD113" i="15" s="1"/>
  <c r="AA111" i="15"/>
  <c r="X111" i="15"/>
  <c r="V111" i="15"/>
  <c r="T111" i="15"/>
  <c r="T113" i="15" s="1"/>
  <c r="P111" i="15"/>
  <c r="M111" i="15"/>
  <c r="K111" i="15"/>
  <c r="I111" i="15"/>
  <c r="AE113" i="15"/>
  <c r="AI113" i="15"/>
  <c r="AG113" i="15"/>
  <c r="BV23" i="12" l="1"/>
  <c r="BU31" i="12"/>
  <c r="BU14" i="12"/>
  <c r="BU33" i="12"/>
  <c r="BU6" i="12"/>
  <c r="BU8" i="12" s="1"/>
  <c r="BU13" i="12"/>
  <c r="BU30" i="12"/>
  <c r="BU25" i="12"/>
  <c r="BU28" i="12"/>
  <c r="BU11" i="12"/>
  <c r="BU9" i="12"/>
  <c r="BV41" i="12"/>
  <c r="T115" i="17"/>
  <c r="T115" i="16"/>
  <c r="V115" i="16" s="1"/>
  <c r="T115" i="15"/>
  <c r="V115" i="15" s="1"/>
  <c r="H113" i="16"/>
  <c r="O113" i="16" s="1"/>
  <c r="M113" i="17"/>
  <c r="AM113" i="16"/>
  <c r="I113" i="15"/>
  <c r="AH113" i="17"/>
  <c r="AM113" i="17"/>
  <c r="P113" i="17"/>
  <c r="AB113" i="17"/>
  <c r="AN113" i="17"/>
  <c r="AF113" i="17"/>
  <c r="AK113" i="17"/>
  <c r="H113" i="17"/>
  <c r="AC113" i="17"/>
  <c r="U113" i="17"/>
  <c r="Z113" i="17"/>
  <c r="W113" i="17"/>
  <c r="I113" i="17"/>
  <c r="Y113" i="17"/>
  <c r="K113" i="17"/>
  <c r="AJ113" i="17"/>
  <c r="P113" i="16"/>
  <c r="Z113" i="16"/>
  <c r="W113" i="16"/>
  <c r="I113" i="16"/>
  <c r="Y113" i="16"/>
  <c r="AN113" i="16"/>
  <c r="AH113" i="16"/>
  <c r="M113" i="16"/>
  <c r="K113" i="16"/>
  <c r="AJ113" i="16"/>
  <c r="U113" i="16"/>
  <c r="AC113" i="16"/>
  <c r="AK113" i="16"/>
  <c r="AB113" i="16"/>
  <c r="AF113" i="16"/>
  <c r="S113" i="14"/>
  <c r="U113" i="14" s="1"/>
  <c r="W113" i="14"/>
  <c r="AM113" i="14"/>
  <c r="P113" i="14"/>
  <c r="AB113" i="14"/>
  <c r="M113" i="14"/>
  <c r="Y113" i="14"/>
  <c r="AN113" i="14"/>
  <c r="AF113" i="14"/>
  <c r="AK113" i="14"/>
  <c r="AH113" i="14"/>
  <c r="I113" i="14"/>
  <c r="K113" i="14"/>
  <c r="H113" i="15"/>
  <c r="J113" i="16" l="1"/>
  <c r="R113" i="16"/>
  <c r="V115" i="17"/>
  <c r="BJ27" i="12" s="1"/>
  <c r="BV27" i="12" s="1"/>
  <c r="BJ24" i="12"/>
  <c r="BV24" i="12" s="1"/>
  <c r="N113" i="17"/>
  <c r="BU16" i="12"/>
  <c r="BV42" i="12"/>
  <c r="AA115" i="17"/>
  <c r="X115" i="17"/>
  <c r="BJ29" i="12" s="1"/>
  <c r="BV29" i="12" s="1"/>
  <c r="X115" i="16"/>
  <c r="AA115" i="16"/>
  <c r="AC115" i="16" s="1"/>
  <c r="X115" i="15"/>
  <c r="AA115" i="15"/>
  <c r="AC115" i="15" s="1"/>
  <c r="N113" i="14"/>
  <c r="H113" i="14"/>
  <c r="R113" i="14" s="1"/>
  <c r="AC113" i="14"/>
  <c r="Z113" i="14"/>
  <c r="O113" i="17"/>
  <c r="R113" i="17"/>
  <c r="J113" i="17"/>
  <c r="L113" i="17"/>
  <c r="Q113" i="17"/>
  <c r="N113" i="16"/>
  <c r="L113" i="16"/>
  <c r="Q113" i="16"/>
  <c r="L113" i="14"/>
  <c r="Q113" i="14"/>
  <c r="BV28" i="12" l="1"/>
  <c r="BV30" i="12"/>
  <c r="AC115" i="17"/>
  <c r="BJ32" i="12"/>
  <c r="BV32" i="12" s="1"/>
  <c r="BV33" i="12" s="1"/>
  <c r="BV26" i="12"/>
  <c r="BV25" i="12"/>
  <c r="J113" i="14"/>
  <c r="O113" i="14"/>
  <c r="BV31" i="12" l="1"/>
  <c r="BJ33" i="12"/>
  <c r="BJ31" i="12"/>
  <c r="BJ30" i="12"/>
  <c r="BJ28" i="12"/>
  <c r="BJ26" i="12"/>
  <c r="BJ25" i="12"/>
  <c r="BJ53" i="12"/>
  <c r="BJ51" i="12"/>
  <c r="BJ48" i="12"/>
  <c r="BJ46" i="12"/>
  <c r="BJ43" i="12"/>
  <c r="BJ41" i="12"/>
  <c r="AK53" i="12"/>
  <c r="AK33" i="12"/>
  <c r="AK31" i="12"/>
  <c r="AK30" i="12"/>
  <c r="AK28" i="12"/>
  <c r="AK26" i="12"/>
  <c r="AK25" i="12"/>
  <c r="AK51" i="12"/>
  <c r="AK48" i="12"/>
  <c r="AK41" i="12"/>
  <c r="X53" i="12"/>
  <c r="X33" i="12"/>
  <c r="X31" i="12"/>
  <c r="X30" i="12"/>
  <c r="X28" i="12"/>
  <c r="X26" i="12"/>
  <c r="X25" i="12"/>
  <c r="X51" i="12"/>
  <c r="L15" i="12"/>
  <c r="L12" i="12"/>
  <c r="L10" i="12"/>
  <c r="L7" i="12"/>
  <c r="L41" i="12"/>
  <c r="L33" i="12"/>
  <c r="L31" i="12"/>
  <c r="L30" i="12"/>
  <c r="L28" i="12"/>
  <c r="L26" i="12"/>
  <c r="L25" i="12"/>
  <c r="L53" i="12"/>
  <c r="K41" i="12"/>
  <c r="L48" i="12" l="1"/>
  <c r="BV12" i="12"/>
  <c r="L51" i="12"/>
  <c r="BV15" i="12"/>
  <c r="L43" i="12"/>
  <c r="BV7" i="12"/>
  <c r="L46" i="12"/>
  <c r="L47" i="12" s="1"/>
  <c r="BV10" i="12"/>
  <c r="BV46" i="12" s="1"/>
  <c r="BJ45" i="12"/>
  <c r="L11" i="12"/>
  <c r="L9" i="12"/>
  <c r="BJ52" i="12"/>
  <c r="BJ50" i="12"/>
  <c r="BJ47" i="12"/>
  <c r="BJ49" i="12"/>
  <c r="BJ42" i="12"/>
  <c r="BJ44" i="12"/>
  <c r="AK43" i="12"/>
  <c r="L13" i="12"/>
  <c r="AK52" i="12"/>
  <c r="L8" i="12"/>
  <c r="AK46" i="12"/>
  <c r="L14" i="12"/>
  <c r="AK49" i="12"/>
  <c r="AK42" i="12"/>
  <c r="L16" i="12"/>
  <c r="X41" i="12"/>
  <c r="X43" i="12"/>
  <c r="X46" i="12"/>
  <c r="X50" i="12" s="1"/>
  <c r="X48" i="12"/>
  <c r="L49" i="12"/>
  <c r="L42" i="12"/>
  <c r="L44" i="12" l="1"/>
  <c r="L45" i="12"/>
  <c r="BV51" i="12"/>
  <c r="BV14" i="12"/>
  <c r="BV16" i="12"/>
  <c r="L50" i="12"/>
  <c r="BV48" i="12"/>
  <c r="BV11" i="12"/>
  <c r="BV13" i="12"/>
  <c r="L52" i="12"/>
  <c r="BV43" i="12"/>
  <c r="BV9" i="12"/>
  <c r="BV8" i="12"/>
  <c r="AK44" i="12"/>
  <c r="AK50" i="12"/>
  <c r="AK47" i="12"/>
  <c r="AK45" i="12"/>
  <c r="X47" i="12"/>
  <c r="X52" i="12"/>
  <c r="X45" i="12"/>
  <c r="X44" i="12"/>
  <c r="X42" i="12"/>
  <c r="X49" i="12"/>
  <c r="BV50" i="12" l="1"/>
  <c r="BV52" i="12"/>
  <c r="BV45" i="12"/>
  <c r="BV44" i="12"/>
  <c r="BV47" i="12"/>
  <c r="BV49" i="12"/>
  <c r="BH25" i="12" l="1"/>
  <c r="BH26" i="12"/>
  <c r="BH28" i="12"/>
  <c r="BH30" i="12"/>
  <c r="BH31" i="12"/>
  <c r="BH33" i="12"/>
  <c r="BH8" i="12"/>
  <c r="BH9" i="12"/>
  <c r="BH11" i="12"/>
  <c r="BH13" i="12"/>
  <c r="BH14" i="12"/>
  <c r="BH16" i="12"/>
  <c r="AI25" i="12"/>
  <c r="AI26" i="12"/>
  <c r="AI28" i="12"/>
  <c r="AI30" i="12"/>
  <c r="AI31" i="12"/>
  <c r="AI33" i="12"/>
  <c r="AI8" i="12"/>
  <c r="AI9" i="12"/>
  <c r="AI11" i="12"/>
  <c r="AI13" i="12"/>
  <c r="AI14" i="12"/>
  <c r="AI16" i="12"/>
  <c r="V25" i="12"/>
  <c r="V26" i="12"/>
  <c r="V28" i="12"/>
  <c r="V30" i="12"/>
  <c r="V31" i="12"/>
  <c r="V33" i="12"/>
  <c r="V8" i="12"/>
  <c r="V9" i="12"/>
  <c r="V11" i="12"/>
  <c r="V13" i="12"/>
  <c r="V14" i="12"/>
  <c r="V16" i="12"/>
  <c r="J25" i="12"/>
  <c r="J26" i="12"/>
  <c r="J28" i="12"/>
  <c r="J30" i="12"/>
  <c r="J31" i="12"/>
  <c r="J33" i="12"/>
  <c r="J8" i="12"/>
  <c r="J9" i="12"/>
  <c r="J11" i="12"/>
  <c r="J13" i="12"/>
  <c r="J14" i="12"/>
  <c r="J16" i="12"/>
  <c r="BT15" i="12"/>
  <c r="BS15" i="12"/>
  <c r="BT12" i="12"/>
  <c r="BS12" i="12"/>
  <c r="BT10" i="12"/>
  <c r="BS10" i="12"/>
  <c r="BT6" i="12"/>
  <c r="BT7" i="12"/>
  <c r="BS6" i="12"/>
  <c r="BS7" i="12"/>
  <c r="BT32" i="12"/>
  <c r="BS32" i="12"/>
  <c r="BT29" i="12"/>
  <c r="BS29" i="12"/>
  <c r="BT27" i="12"/>
  <c r="BS27" i="12"/>
  <c r="BT23" i="12"/>
  <c r="BT24" i="12"/>
  <c r="BS23" i="12"/>
  <c r="BS24" i="12"/>
  <c r="BG41" i="12"/>
  <c r="BG42" i="12" s="1"/>
  <c r="BH41" i="12"/>
  <c r="BH42" i="12" s="1"/>
  <c r="BI41" i="12"/>
  <c r="BG43" i="12"/>
  <c r="BH43" i="12"/>
  <c r="BI43" i="12"/>
  <c r="BG46" i="12"/>
  <c r="BH46" i="12"/>
  <c r="BI46" i="12"/>
  <c r="BG48" i="12"/>
  <c r="BH48" i="12"/>
  <c r="BI48" i="12"/>
  <c r="BG51" i="12"/>
  <c r="BH51" i="12"/>
  <c r="BI51" i="12"/>
  <c r="BG53" i="12"/>
  <c r="BH53" i="12"/>
  <c r="BI53" i="12"/>
  <c r="BG33" i="12"/>
  <c r="BI33" i="12"/>
  <c r="BG30" i="12"/>
  <c r="BI30" i="12"/>
  <c r="BG31" i="12"/>
  <c r="BI31" i="12"/>
  <c r="BG28" i="12"/>
  <c r="BI28" i="12"/>
  <c r="BG25" i="12"/>
  <c r="BI25" i="12"/>
  <c r="BG26" i="12"/>
  <c r="BI26" i="12"/>
  <c r="BG16" i="12"/>
  <c r="BI16" i="12"/>
  <c r="BG13" i="12"/>
  <c r="BI13" i="12"/>
  <c r="BG14" i="12"/>
  <c r="BI14" i="12"/>
  <c r="BG11" i="12"/>
  <c r="BI11" i="12"/>
  <c r="BG8" i="12"/>
  <c r="BI8" i="12"/>
  <c r="BG9" i="12"/>
  <c r="BI9" i="12"/>
  <c r="AU41" i="12"/>
  <c r="AV41" i="12"/>
  <c r="AV42" i="12" s="1"/>
  <c r="AW41" i="12"/>
  <c r="AW42" i="12" s="1"/>
  <c r="AU43" i="12"/>
  <c r="AV43" i="12"/>
  <c r="AW43" i="12"/>
  <c r="AU46" i="12"/>
  <c r="AV46" i="12"/>
  <c r="AW46" i="12"/>
  <c r="AU48" i="12"/>
  <c r="AV48" i="12"/>
  <c r="AW48" i="12"/>
  <c r="AU51" i="12"/>
  <c r="AV51" i="12"/>
  <c r="AW51" i="12"/>
  <c r="AU53" i="12"/>
  <c r="AV53" i="12"/>
  <c r="AW53" i="12"/>
  <c r="AU33" i="12"/>
  <c r="AV33" i="12"/>
  <c r="AW33" i="12"/>
  <c r="AU30" i="12"/>
  <c r="AV30" i="12"/>
  <c r="AW30" i="12"/>
  <c r="AU31" i="12"/>
  <c r="AV31" i="12"/>
  <c r="AW31" i="12"/>
  <c r="AU28" i="12"/>
  <c r="AV28" i="12"/>
  <c r="AW28" i="12"/>
  <c r="AU25" i="12"/>
  <c r="AV25" i="12"/>
  <c r="AW25" i="12"/>
  <c r="AU26" i="12"/>
  <c r="AV26" i="12"/>
  <c r="AW26" i="12"/>
  <c r="AU16" i="12"/>
  <c r="AV16" i="12"/>
  <c r="AU13" i="12"/>
  <c r="AV13" i="12"/>
  <c r="AU14" i="12"/>
  <c r="AV14" i="12"/>
  <c r="AU11" i="12"/>
  <c r="AV11" i="12"/>
  <c r="AU8" i="12"/>
  <c r="AV8" i="12"/>
  <c r="AU9" i="12"/>
  <c r="AV9" i="12"/>
  <c r="AH16" i="12"/>
  <c r="AJ16" i="12"/>
  <c r="AH13" i="12"/>
  <c r="AJ13" i="12"/>
  <c r="AH14" i="12"/>
  <c r="AJ14" i="12"/>
  <c r="AH11" i="12"/>
  <c r="AJ11" i="12"/>
  <c r="AH8" i="12"/>
  <c r="AJ8" i="12"/>
  <c r="AH9" i="12"/>
  <c r="AJ9" i="12"/>
  <c r="AH33" i="12"/>
  <c r="AJ33" i="12"/>
  <c r="AH30" i="12"/>
  <c r="AJ30" i="12"/>
  <c r="AH31" i="12"/>
  <c r="AJ31" i="12"/>
  <c r="AH28" i="12"/>
  <c r="AJ28" i="12"/>
  <c r="AH25" i="12"/>
  <c r="AJ25" i="12"/>
  <c r="AH26" i="12"/>
  <c r="AJ26" i="12"/>
  <c r="AH41" i="12"/>
  <c r="AH42" i="12" s="1"/>
  <c r="AI41" i="12"/>
  <c r="AJ41" i="12"/>
  <c r="AJ42" i="12" s="1"/>
  <c r="AH43" i="12"/>
  <c r="AI43" i="12"/>
  <c r="AJ43" i="12"/>
  <c r="AH46" i="12"/>
  <c r="AI46" i="12"/>
  <c r="AJ46" i="12"/>
  <c r="AH48" i="12"/>
  <c r="AI48" i="12"/>
  <c r="AJ48" i="12"/>
  <c r="AH51" i="12"/>
  <c r="AI51" i="12"/>
  <c r="AJ51" i="12"/>
  <c r="AH53" i="12"/>
  <c r="AI53" i="12"/>
  <c r="AJ53" i="12"/>
  <c r="W11" i="12"/>
  <c r="W13" i="12"/>
  <c r="W14" i="12"/>
  <c r="W16" i="12"/>
  <c r="U11" i="12"/>
  <c r="U13" i="12"/>
  <c r="U14" i="12"/>
  <c r="U16" i="12"/>
  <c r="U8" i="12"/>
  <c r="W8" i="12"/>
  <c r="U9" i="12"/>
  <c r="W9" i="12"/>
  <c r="W33" i="12"/>
  <c r="W30" i="12"/>
  <c r="W31" i="12"/>
  <c r="W28" i="12"/>
  <c r="W25" i="12"/>
  <c r="W26" i="12"/>
  <c r="U25" i="12"/>
  <c r="U26" i="12"/>
  <c r="U28" i="12"/>
  <c r="U30" i="12"/>
  <c r="U31" i="12"/>
  <c r="U33" i="12"/>
  <c r="W41" i="12"/>
  <c r="W43" i="12"/>
  <c r="W46" i="12"/>
  <c r="W48" i="12"/>
  <c r="W51" i="12"/>
  <c r="W53" i="12"/>
  <c r="U41" i="12"/>
  <c r="U42" i="12" s="1"/>
  <c r="V41" i="12"/>
  <c r="V42" i="12" s="1"/>
  <c r="U43" i="12"/>
  <c r="V43" i="12"/>
  <c r="U46" i="12"/>
  <c r="V46" i="12"/>
  <c r="U48" i="12"/>
  <c r="V48" i="12"/>
  <c r="U51" i="12"/>
  <c r="V51" i="12"/>
  <c r="U53" i="12"/>
  <c r="V53" i="12"/>
  <c r="K33" i="12"/>
  <c r="K30" i="12"/>
  <c r="K31" i="12"/>
  <c r="K28" i="12"/>
  <c r="K25" i="12"/>
  <c r="K26" i="12"/>
  <c r="K16" i="12"/>
  <c r="K13" i="12"/>
  <c r="K14" i="12"/>
  <c r="K11" i="12"/>
  <c r="K8" i="12"/>
  <c r="K9" i="12"/>
  <c r="K42" i="12"/>
  <c r="K43" i="12"/>
  <c r="K46" i="12"/>
  <c r="K48" i="12"/>
  <c r="K51" i="12"/>
  <c r="K53" i="12"/>
  <c r="J41" i="12"/>
  <c r="J42" i="12" s="1"/>
  <c r="J43" i="12"/>
  <c r="J46" i="12"/>
  <c r="J48" i="12"/>
  <c r="J51" i="12"/>
  <c r="J53" i="12"/>
  <c r="I41" i="12"/>
  <c r="I42" i="12" s="1"/>
  <c r="I43" i="12"/>
  <c r="I46" i="12"/>
  <c r="I48" i="12"/>
  <c r="I51" i="12"/>
  <c r="I53" i="12"/>
  <c r="I16" i="12"/>
  <c r="I13" i="12"/>
  <c r="I14" i="12"/>
  <c r="I11" i="12"/>
  <c r="I8" i="12"/>
  <c r="I9" i="12"/>
  <c r="I25" i="12"/>
  <c r="I26" i="12"/>
  <c r="I28" i="12"/>
  <c r="I30" i="12"/>
  <c r="I31" i="12"/>
  <c r="I33" i="12"/>
  <c r="AS53" i="12"/>
  <c r="AT53" i="12"/>
  <c r="AX53" i="12"/>
  <c r="BE53" i="12"/>
  <c r="BF53" i="12"/>
  <c r="BK53" i="12"/>
  <c r="AF53" i="12"/>
  <c r="AG53" i="12"/>
  <c r="AL53" i="12"/>
  <c r="S53" i="12"/>
  <c r="T53" i="12"/>
  <c r="Y53" i="12"/>
  <c r="M53" i="12"/>
  <c r="H53" i="12"/>
  <c r="G53" i="12"/>
  <c r="AA67" i="11"/>
  <c r="AA61" i="11"/>
  <c r="AA30" i="11"/>
  <c r="E73" i="11"/>
  <c r="BS26" i="12" l="1"/>
  <c r="BS30" i="12"/>
  <c r="AU49" i="12"/>
  <c r="BS48" i="12"/>
  <c r="BH52" i="12"/>
  <c r="BG50" i="12"/>
  <c r="BH44" i="12"/>
  <c r="BS51" i="12"/>
  <c r="BS14" i="12"/>
  <c r="BS8" i="12"/>
  <c r="BS31" i="12"/>
  <c r="BS33" i="12"/>
  <c r="BS41" i="12"/>
  <c r="BT30" i="12"/>
  <c r="BT9" i="12"/>
  <c r="BT31" i="12"/>
  <c r="BT25" i="12"/>
  <c r="BT28" i="12"/>
  <c r="BT51" i="12"/>
  <c r="BT26" i="12"/>
  <c r="BT48" i="12"/>
  <c r="BT8" i="12"/>
  <c r="BT11" i="12"/>
  <c r="BT43" i="12"/>
  <c r="BU41" i="12"/>
  <c r="BU51" i="12"/>
  <c r="BU43" i="12"/>
  <c r="BU48" i="12"/>
  <c r="BT16" i="12"/>
  <c r="BS13" i="12"/>
  <c r="BU46" i="12"/>
  <c r="BT46" i="12"/>
  <c r="BT14" i="12"/>
  <c r="BS9" i="12"/>
  <c r="BS11" i="12"/>
  <c r="BT13" i="12"/>
  <c r="BS16" i="12"/>
  <c r="BS43" i="12"/>
  <c r="BT33" i="12"/>
  <c r="BS28" i="12"/>
  <c r="BS46" i="12"/>
  <c r="BT41" i="12"/>
  <c r="BS25" i="12"/>
  <c r="AH52" i="12"/>
  <c r="BI49" i="12"/>
  <c r="BI50" i="12"/>
  <c r="BI45" i="12"/>
  <c r="BG44" i="12"/>
  <c r="BH47" i="12"/>
  <c r="BI44" i="12"/>
  <c r="BG49" i="12"/>
  <c r="AV49" i="12"/>
  <c r="AU44" i="12"/>
  <c r="BI52" i="12"/>
  <c r="BI42" i="12"/>
  <c r="AH50" i="12"/>
  <c r="AJ49" i="12"/>
  <c r="AV52" i="12"/>
  <c r="AW44" i="12"/>
  <c r="AH47" i="12"/>
  <c r="AV44" i="12"/>
  <c r="BH45" i="12"/>
  <c r="BH50" i="12"/>
  <c r="BI47" i="12"/>
  <c r="BG45" i="12"/>
  <c r="BG47" i="12"/>
  <c r="BG52" i="12"/>
  <c r="BH49" i="12"/>
  <c r="AJ52" i="12"/>
  <c r="AJ44" i="12"/>
  <c r="AU50" i="12"/>
  <c r="AW45" i="12"/>
  <c r="AW49" i="12"/>
  <c r="AU45" i="12"/>
  <c r="AU47" i="12"/>
  <c r="AW52" i="12"/>
  <c r="AW50" i="12"/>
  <c r="AV45" i="12"/>
  <c r="AV50" i="12"/>
  <c r="AW47" i="12"/>
  <c r="AV47" i="12"/>
  <c r="AU42" i="12"/>
  <c r="AU52" i="12"/>
  <c r="AI44" i="12"/>
  <c r="AH45" i="12"/>
  <c r="W45" i="12"/>
  <c r="W44" i="12"/>
  <c r="AI50" i="12"/>
  <c r="AI49" i="12"/>
  <c r="AH44" i="12"/>
  <c r="AI47" i="12"/>
  <c r="AH49" i="12"/>
  <c r="W42" i="12"/>
  <c r="AJ45" i="12"/>
  <c r="AJ50" i="12"/>
  <c r="AI45" i="12"/>
  <c r="AJ47" i="12"/>
  <c r="AI42" i="12"/>
  <c r="AI52" i="12"/>
  <c r="V49" i="12"/>
  <c r="W47" i="12"/>
  <c r="W49" i="12"/>
  <c r="V50" i="12"/>
  <c r="W50" i="12"/>
  <c r="V47" i="12"/>
  <c r="U45" i="12"/>
  <c r="W52" i="12"/>
  <c r="U52" i="12"/>
  <c r="J45" i="12"/>
  <c r="K49" i="12"/>
  <c r="U44" i="12"/>
  <c r="K45" i="12"/>
  <c r="U47" i="12"/>
  <c r="V44" i="12"/>
  <c r="U50" i="12"/>
  <c r="V45" i="12"/>
  <c r="U49" i="12"/>
  <c r="V52" i="12"/>
  <c r="I44" i="12"/>
  <c r="K50" i="12"/>
  <c r="I45" i="12"/>
  <c r="K44" i="12"/>
  <c r="J44" i="12"/>
  <c r="J50" i="12"/>
  <c r="I50" i="12"/>
  <c r="J47" i="12"/>
  <c r="I47" i="12"/>
  <c r="K47" i="12"/>
  <c r="K52" i="12"/>
  <c r="J49" i="12"/>
  <c r="J52" i="12"/>
  <c r="I49" i="12"/>
  <c r="I52" i="12"/>
  <c r="BK32" i="12"/>
  <c r="BK29" i="12"/>
  <c r="BK27" i="12"/>
  <c r="BK24" i="12"/>
  <c r="BK23" i="12"/>
  <c r="BK15" i="12"/>
  <c r="BK12" i="12"/>
  <c r="BK10" i="12"/>
  <c r="BK7" i="12"/>
  <c r="BK6" i="12"/>
  <c r="AL15" i="12"/>
  <c r="AL27" i="12"/>
  <c r="AL24" i="12"/>
  <c r="Y125" i="17"/>
  <c r="AL123" i="17"/>
  <c r="AI123" i="17"/>
  <c r="AG123" i="17"/>
  <c r="AE123" i="17"/>
  <c r="AD123" i="17"/>
  <c r="AL122" i="17"/>
  <c r="AI122" i="17"/>
  <c r="AG122" i="17"/>
  <c r="AE122" i="17"/>
  <c r="AD122" i="17"/>
  <c r="AD128" i="17" s="1"/>
  <c r="AL120" i="17"/>
  <c r="AI120" i="17"/>
  <c r="AG120" i="17"/>
  <c r="AE120" i="17"/>
  <c r="AD120" i="17"/>
  <c r="AL119" i="17"/>
  <c r="AI119" i="17"/>
  <c r="AG119" i="17"/>
  <c r="AE119" i="17"/>
  <c r="AD119" i="17"/>
  <c r="AL116" i="17"/>
  <c r="AI116" i="17"/>
  <c r="AI117" i="17" s="1"/>
  <c r="AG116" i="17"/>
  <c r="AE116" i="17"/>
  <c r="AE117" i="17" s="1"/>
  <c r="AD116" i="17"/>
  <c r="AL123" i="16"/>
  <c r="AI123" i="16"/>
  <c r="AG123" i="16"/>
  <c r="AE123" i="16"/>
  <c r="AD123" i="16"/>
  <c r="AL122" i="16"/>
  <c r="AI122" i="16"/>
  <c r="AG122" i="16"/>
  <c r="AE122" i="16"/>
  <c r="AD122" i="16"/>
  <c r="AL120" i="16"/>
  <c r="AI120" i="16"/>
  <c r="AG120" i="16"/>
  <c r="AE120" i="16"/>
  <c r="AD120" i="16"/>
  <c r="AL119" i="16"/>
  <c r="AI119" i="16"/>
  <c r="AG119" i="16"/>
  <c r="AE119" i="16"/>
  <c r="AF119" i="16" s="1"/>
  <c r="AD119" i="16"/>
  <c r="AL116" i="16"/>
  <c r="AL117" i="16" s="1"/>
  <c r="AI116" i="16"/>
  <c r="AI117" i="16" s="1"/>
  <c r="AG116" i="16"/>
  <c r="AE116" i="16"/>
  <c r="AD116" i="16"/>
  <c r="AL7" i="12"/>
  <c r="AL29" i="12"/>
  <c r="AL123" i="15"/>
  <c r="AI123" i="15"/>
  <c r="AG123" i="15"/>
  <c r="AE123" i="15"/>
  <c r="AD123" i="15"/>
  <c r="AL122" i="15"/>
  <c r="AI122" i="15"/>
  <c r="AG122" i="15"/>
  <c r="AE122" i="15"/>
  <c r="AD122" i="15"/>
  <c r="AL120" i="15"/>
  <c r="AI120" i="15"/>
  <c r="AG120" i="15"/>
  <c r="AE120" i="15"/>
  <c r="AH120" i="15" s="1"/>
  <c r="AD120" i="15"/>
  <c r="AL119" i="15"/>
  <c r="AI119" i="15"/>
  <c r="AG119" i="15"/>
  <c r="AE119" i="15"/>
  <c r="AD119" i="15"/>
  <c r="AL116" i="15"/>
  <c r="AI116" i="15"/>
  <c r="AG116" i="15"/>
  <c r="AE116" i="15"/>
  <c r="AD116" i="15"/>
  <c r="Y12" i="12"/>
  <c r="Y10" i="12"/>
  <c r="Y7" i="12"/>
  <c r="AA113" i="15"/>
  <c r="X113" i="15"/>
  <c r="V113" i="15"/>
  <c r="Y24" i="12"/>
  <c r="Y23" i="12"/>
  <c r="AL123" i="14"/>
  <c r="AI123" i="14"/>
  <c r="AG123" i="14"/>
  <c r="AE123" i="14"/>
  <c r="AD123" i="14"/>
  <c r="AL122" i="14"/>
  <c r="AI122" i="14"/>
  <c r="AG122" i="14"/>
  <c r="AE122" i="14"/>
  <c r="AD122" i="14"/>
  <c r="AL120" i="14"/>
  <c r="AI120" i="14"/>
  <c r="AG120" i="14"/>
  <c r="AE120" i="14"/>
  <c r="AD120" i="14"/>
  <c r="AL119" i="14"/>
  <c r="AI119" i="14"/>
  <c r="AG119" i="14"/>
  <c r="AE119" i="14"/>
  <c r="AD119" i="14"/>
  <c r="AL116" i="14"/>
  <c r="AI116" i="14"/>
  <c r="AG116" i="14"/>
  <c r="AE116" i="14"/>
  <c r="AD116" i="14"/>
  <c r="M15" i="12"/>
  <c r="M10" i="12"/>
  <c r="M7" i="12"/>
  <c r="M29" i="12"/>
  <c r="AJ122" i="16" l="1"/>
  <c r="AJ116" i="16"/>
  <c r="Z125" i="17"/>
  <c r="AL127" i="17"/>
  <c r="AN120" i="17"/>
  <c r="W125" i="17"/>
  <c r="AM116" i="17"/>
  <c r="AB124" i="17"/>
  <c r="AE128" i="17"/>
  <c r="AH116" i="17"/>
  <c r="AN122" i="17"/>
  <c r="AI128" i="17"/>
  <c r="AL117" i="17"/>
  <c r="AK123" i="17"/>
  <c r="W124" i="17"/>
  <c r="AB125" i="17"/>
  <c r="AN116" i="17"/>
  <c r="AJ122" i="17"/>
  <c r="AJ123" i="17"/>
  <c r="AD127" i="17"/>
  <c r="AM120" i="17"/>
  <c r="AL128" i="17"/>
  <c r="AN128" i="17" s="1"/>
  <c r="AM122" i="17"/>
  <c r="AC124" i="17"/>
  <c r="AG127" i="17"/>
  <c r="AJ116" i="17"/>
  <c r="AI127" i="17"/>
  <c r="AN123" i="17"/>
  <c r="AG128" i="17"/>
  <c r="AG117" i="17"/>
  <c r="AJ117" i="17" s="1"/>
  <c r="AE127" i="17"/>
  <c r="AM123" i="17"/>
  <c r="AD117" i="17"/>
  <c r="AK117" i="17" s="1"/>
  <c r="AJ119" i="17"/>
  <c r="AH123" i="17"/>
  <c r="Y124" i="17"/>
  <c r="AL128" i="16"/>
  <c r="AL127" i="16"/>
  <c r="AN123" i="16"/>
  <c r="AH120" i="16"/>
  <c r="AD127" i="16"/>
  <c r="AD128" i="16"/>
  <c r="AI128" i="16"/>
  <c r="AI127" i="16"/>
  <c r="AE128" i="16"/>
  <c r="AM123" i="16"/>
  <c r="AN120" i="16"/>
  <c r="Y32" i="12"/>
  <c r="P113" i="15"/>
  <c r="R113" i="15" s="1"/>
  <c r="Y29" i="12"/>
  <c r="Y30" i="12" s="1"/>
  <c r="M113" i="15"/>
  <c r="O113" i="15" s="1"/>
  <c r="Y27" i="12"/>
  <c r="Y26" i="12" s="1"/>
  <c r="K113" i="15"/>
  <c r="AN116" i="15"/>
  <c r="AE128" i="15"/>
  <c r="AD128" i="15"/>
  <c r="AH116" i="15"/>
  <c r="AN120" i="15"/>
  <c r="AK113" i="15"/>
  <c r="AM122" i="15"/>
  <c r="Y6" i="12"/>
  <c r="Y13" i="12" s="1"/>
  <c r="AJ123" i="15"/>
  <c r="Z113" i="15"/>
  <c r="AH123" i="15"/>
  <c r="AC113" i="15"/>
  <c r="AI128" i="15"/>
  <c r="U113" i="15"/>
  <c r="AB113" i="15"/>
  <c r="AN119" i="15"/>
  <c r="AE127" i="15"/>
  <c r="AK120" i="15"/>
  <c r="Y113" i="15"/>
  <c r="AL117" i="15"/>
  <c r="AJ119" i="15"/>
  <c r="AG127" i="16"/>
  <c r="AM120" i="16"/>
  <c r="AD117" i="16"/>
  <c r="AN117" i="16" s="1"/>
  <c r="AL32" i="12"/>
  <c r="AL31" i="12" s="1"/>
  <c r="AG128" i="16"/>
  <c r="AM128" i="16" s="1"/>
  <c r="AM116" i="16"/>
  <c r="AJ119" i="16"/>
  <c r="AK120" i="16"/>
  <c r="AL6" i="12"/>
  <c r="AL8" i="12" s="1"/>
  <c r="AH122" i="16"/>
  <c r="AH119" i="16"/>
  <c r="AK119" i="16"/>
  <c r="AM122" i="16"/>
  <c r="AJ123" i="16"/>
  <c r="AL10" i="12"/>
  <c r="AL9" i="12" s="1"/>
  <c r="AE127" i="16"/>
  <c r="AN119" i="16"/>
  <c r="AH128" i="16"/>
  <c r="AH123" i="16"/>
  <c r="AL23" i="12"/>
  <c r="AL25" i="12" s="1"/>
  <c r="AL12" i="12"/>
  <c r="AL11" i="12" s="1"/>
  <c r="AI127" i="15"/>
  <c r="AJ116" i="15"/>
  <c r="AM119" i="15"/>
  <c r="AG127" i="15"/>
  <c r="AH127" i="15" s="1"/>
  <c r="AL128" i="15"/>
  <c r="AN128" i="15" s="1"/>
  <c r="AM123" i="15"/>
  <c r="AE117" i="15"/>
  <c r="AJ113" i="15"/>
  <c r="AI117" i="15"/>
  <c r="AN123" i="15"/>
  <c r="AK119" i="15"/>
  <c r="Y15" i="12"/>
  <c r="Y14" i="12" s="1"/>
  <c r="AJ122" i="15"/>
  <c r="AG128" i="15"/>
  <c r="AL127" i="15"/>
  <c r="AF119" i="15"/>
  <c r="AM120" i="15"/>
  <c r="AH122" i="15"/>
  <c r="AD117" i="14"/>
  <c r="AI127" i="14"/>
  <c r="AK120" i="14"/>
  <c r="AI128" i="14"/>
  <c r="AL128" i="14"/>
  <c r="M12" i="12"/>
  <c r="M6" i="12"/>
  <c r="AG128" i="14"/>
  <c r="AM128" i="14" s="1"/>
  <c r="M23" i="12"/>
  <c r="M30" i="12" s="1"/>
  <c r="M24" i="12"/>
  <c r="BW24" i="12" s="1"/>
  <c r="M27" i="12"/>
  <c r="M32" i="12"/>
  <c r="BT42" i="12"/>
  <c r="BU42" i="12"/>
  <c r="BS42" i="12"/>
  <c r="BS50" i="12"/>
  <c r="BS44" i="12"/>
  <c r="BS49" i="12"/>
  <c r="BS52" i="12"/>
  <c r="BT47" i="12"/>
  <c r="BT45" i="12"/>
  <c r="BU44" i="12"/>
  <c r="BU52" i="12"/>
  <c r="BU49" i="12"/>
  <c r="BU50" i="12"/>
  <c r="BU47" i="12"/>
  <c r="BU45" i="12"/>
  <c r="BT50" i="12"/>
  <c r="BT52" i="12"/>
  <c r="BT44" i="12"/>
  <c r="BS45" i="12"/>
  <c r="BS47" i="12"/>
  <c r="BT49" i="12"/>
  <c r="BK31" i="12"/>
  <c r="AL26" i="12"/>
  <c r="BK28" i="12"/>
  <c r="BK9" i="12"/>
  <c r="Y11" i="12"/>
  <c r="Y9" i="12"/>
  <c r="AL28" i="12"/>
  <c r="BK14" i="12"/>
  <c r="BK30" i="12"/>
  <c r="Y25" i="12"/>
  <c r="BK26" i="12"/>
  <c r="BK25" i="12"/>
  <c r="BK16" i="12"/>
  <c r="BK11" i="12"/>
  <c r="BK13" i="12"/>
  <c r="BK8" i="12"/>
  <c r="AK119" i="17"/>
  <c r="AH120" i="17"/>
  <c r="AF122" i="17"/>
  <c r="AK116" i="17"/>
  <c r="AM119" i="17"/>
  <c r="AJ120" i="17"/>
  <c r="U125" i="17"/>
  <c r="AC125" i="17"/>
  <c r="AF119" i="17"/>
  <c r="AN119" i="17"/>
  <c r="AK120" i="17"/>
  <c r="AH122" i="17"/>
  <c r="AF123" i="17"/>
  <c r="Z124" i="17"/>
  <c r="AF116" i="17"/>
  <c r="AH119" i="17"/>
  <c r="AF120" i="17"/>
  <c r="AK122" i="17"/>
  <c r="U124" i="17"/>
  <c r="AN128" i="16"/>
  <c r="AF128" i="16"/>
  <c r="AH116" i="16"/>
  <c r="AE117" i="16"/>
  <c r="AG117" i="16"/>
  <c r="AJ117" i="16" s="1"/>
  <c r="AF122" i="16"/>
  <c r="AN122" i="16"/>
  <c r="AK123" i="16"/>
  <c r="AK116" i="16"/>
  <c r="AM119" i="16"/>
  <c r="AJ120" i="16"/>
  <c r="AF123" i="16"/>
  <c r="AF116" i="16"/>
  <c r="AN116" i="16"/>
  <c r="AF120" i="16"/>
  <c r="AK122" i="16"/>
  <c r="W113" i="15"/>
  <c r="AM113" i="15"/>
  <c r="AG117" i="15"/>
  <c r="AF122" i="15"/>
  <c r="AN122" i="15"/>
  <c r="AK123" i="15"/>
  <c r="AF113" i="15"/>
  <c r="AN113" i="15"/>
  <c r="AK116" i="15"/>
  <c r="AJ120" i="15"/>
  <c r="AM116" i="15"/>
  <c r="AF123" i="15"/>
  <c r="AD127" i="15"/>
  <c r="J113" i="15"/>
  <c r="AH113" i="15"/>
  <c r="AF116" i="15"/>
  <c r="AH119" i="15"/>
  <c r="AD117" i="15"/>
  <c r="AF120" i="15"/>
  <c r="AK122" i="15"/>
  <c r="AM119" i="14"/>
  <c r="AL117" i="14"/>
  <c r="AN123" i="14"/>
  <c r="AN119" i="14"/>
  <c r="AL127" i="14"/>
  <c r="AE117" i="14"/>
  <c r="AJ122" i="14"/>
  <c r="AJ120" i="14"/>
  <c r="AE127" i="14"/>
  <c r="AE128" i="14"/>
  <c r="AG127" i="14"/>
  <c r="AM123" i="14"/>
  <c r="AD128" i="14"/>
  <c r="AD127" i="14"/>
  <c r="AM116" i="14"/>
  <c r="AM122" i="14"/>
  <c r="AF116" i="14"/>
  <c r="AH119" i="14"/>
  <c r="AN120" i="14"/>
  <c r="AK116" i="14"/>
  <c r="AN116" i="14"/>
  <c r="AJ119" i="14"/>
  <c r="AK122" i="14"/>
  <c r="AH123" i="14"/>
  <c r="AH122" i="14"/>
  <c r="AF120" i="14"/>
  <c r="AM120" i="14"/>
  <c r="AH120" i="14"/>
  <c r="AJ116" i="14"/>
  <c r="AG117" i="14"/>
  <c r="AF122" i="14"/>
  <c r="AN122" i="14"/>
  <c r="AK123" i="14"/>
  <c r="AK119" i="14"/>
  <c r="AJ123" i="14"/>
  <c r="AI117" i="14"/>
  <c r="AF119" i="14"/>
  <c r="AH116" i="14"/>
  <c r="AF123" i="14"/>
  <c r="Y8" i="12" l="1"/>
  <c r="AF128" i="15"/>
  <c r="AL30" i="12"/>
  <c r="Y28" i="12"/>
  <c r="Y31" i="12"/>
  <c r="Q113" i="15"/>
  <c r="AH127" i="17"/>
  <c r="AF128" i="17"/>
  <c r="AK128" i="17"/>
  <c r="AF117" i="17"/>
  <c r="AN117" i="17"/>
  <c r="AH128" i="17"/>
  <c r="AJ127" i="17"/>
  <c r="AM128" i="17"/>
  <c r="AJ128" i="17"/>
  <c r="AM127" i="17"/>
  <c r="AK127" i="17"/>
  <c r="AF127" i="17"/>
  <c r="AH117" i="17"/>
  <c r="AN127" i="17"/>
  <c r="AM117" i="17"/>
  <c r="AJ127" i="16"/>
  <c r="AK117" i="16"/>
  <c r="AN127" i="16"/>
  <c r="AF127" i="16"/>
  <c r="AL16" i="12"/>
  <c r="AK127" i="16"/>
  <c r="AK128" i="16"/>
  <c r="AM117" i="16"/>
  <c r="AL13" i="12"/>
  <c r="AL14" i="12"/>
  <c r="AH117" i="16"/>
  <c r="N113" i="15"/>
  <c r="L113" i="15"/>
  <c r="AM117" i="15"/>
  <c r="AK128" i="15"/>
  <c r="AK117" i="14"/>
  <c r="AF117" i="14"/>
  <c r="M41" i="12"/>
  <c r="AM127" i="16"/>
  <c r="AH127" i="16"/>
  <c r="AJ128" i="16"/>
  <c r="AJ128" i="15"/>
  <c r="AJ127" i="15"/>
  <c r="AM127" i="15"/>
  <c r="AH128" i="15"/>
  <c r="Y16" i="12"/>
  <c r="AM128" i="15"/>
  <c r="AJ117" i="15"/>
  <c r="AN117" i="14"/>
  <c r="AM127" i="14"/>
  <c r="AN128" i="14"/>
  <c r="AN127" i="14"/>
  <c r="AK128" i="14"/>
  <c r="AJ127" i="14"/>
  <c r="AH128" i="14"/>
  <c r="AK127" i="14"/>
  <c r="AF127" i="14"/>
  <c r="AJ128" i="14"/>
  <c r="AF117" i="16"/>
  <c r="AN117" i="15"/>
  <c r="AF117" i="15"/>
  <c r="AK117" i="15"/>
  <c r="AN127" i="15"/>
  <c r="AF127" i="15"/>
  <c r="AK127" i="15"/>
  <c r="AH117" i="15"/>
  <c r="AH127" i="14"/>
  <c r="AF128" i="14"/>
  <c r="AJ117" i="14"/>
  <c r="AH117" i="14"/>
  <c r="AM117" i="14"/>
  <c r="M42" i="12" l="1"/>
  <c r="M33" i="12" l="1"/>
  <c r="M31" i="12"/>
  <c r="M28" i="12"/>
  <c r="M26" i="12"/>
  <c r="M25" i="12"/>
  <c r="BQ23" i="12" l="1"/>
  <c r="BW32" i="12"/>
  <c r="BR32" i="12"/>
  <c r="BQ32" i="12"/>
  <c r="BW29" i="12"/>
  <c r="BR29" i="12"/>
  <c r="BQ29" i="12"/>
  <c r="BW27" i="12"/>
  <c r="BR27" i="12"/>
  <c r="BQ27" i="12"/>
  <c r="BR24" i="12"/>
  <c r="BQ24" i="12"/>
  <c r="BW23" i="12"/>
  <c r="BR23" i="12"/>
  <c r="BW15" i="12"/>
  <c r="BR15" i="12"/>
  <c r="BQ15" i="12"/>
  <c r="BW12" i="12"/>
  <c r="BR12" i="12"/>
  <c r="BQ12" i="12"/>
  <c r="BW10" i="12"/>
  <c r="BR10" i="12"/>
  <c r="BQ10" i="12"/>
  <c r="BW7" i="12"/>
  <c r="BW43" i="12" s="1"/>
  <c r="BR7" i="12"/>
  <c r="BQ7" i="12"/>
  <c r="BW6" i="12"/>
  <c r="BR6" i="12"/>
  <c r="BQ6" i="12"/>
  <c r="BR46" i="12" l="1"/>
  <c r="BW41" i="12"/>
  <c r="BQ43" i="12"/>
  <c r="BR43" i="12"/>
  <c r="BR51" i="12"/>
  <c r="BQ46" i="12"/>
  <c r="BW51" i="12"/>
  <c r="BQ41" i="12"/>
  <c r="BW46" i="12"/>
  <c r="BQ48" i="12"/>
  <c r="BR48" i="12"/>
  <c r="BR41" i="12"/>
  <c r="BW48" i="12"/>
  <c r="BQ51" i="12"/>
  <c r="BQ31" i="12"/>
  <c r="BQ30" i="12"/>
  <c r="BQ28" i="12"/>
  <c r="BQ26" i="12"/>
  <c r="BQ33" i="12"/>
  <c r="BQ11" i="12"/>
  <c r="BQ14" i="12"/>
  <c r="BQ9" i="12"/>
  <c r="BQ13" i="12"/>
  <c r="BE51" i="12"/>
  <c r="BE48" i="12"/>
  <c r="BE46" i="12"/>
  <c r="BE43" i="12"/>
  <c r="BE41" i="12"/>
  <c r="BE33" i="12"/>
  <c r="BE31" i="12"/>
  <c r="BE30" i="12"/>
  <c r="BE28" i="12"/>
  <c r="BE26" i="12"/>
  <c r="BE25" i="12"/>
  <c r="BE16" i="12"/>
  <c r="BE14" i="12"/>
  <c r="BE13" i="12"/>
  <c r="BE11" i="12"/>
  <c r="BE9" i="12"/>
  <c r="BE8" i="12"/>
  <c r="AS51" i="12"/>
  <c r="AS48" i="12"/>
  <c r="AS46" i="12"/>
  <c r="AS43" i="12"/>
  <c r="AS41" i="12"/>
  <c r="AS33" i="12"/>
  <c r="AS31" i="12"/>
  <c r="AS30" i="12"/>
  <c r="AS28" i="12"/>
  <c r="AS26" i="12"/>
  <c r="AS25" i="12"/>
  <c r="AS16" i="12"/>
  <c r="AS14" i="12"/>
  <c r="AS13" i="12"/>
  <c r="AS11" i="12"/>
  <c r="AS9" i="12"/>
  <c r="AS8" i="12"/>
  <c r="AF51" i="12"/>
  <c r="AF48" i="12"/>
  <c r="AF46" i="12"/>
  <c r="AF43" i="12"/>
  <c r="AF41" i="12"/>
  <c r="AF33" i="12"/>
  <c r="AF31" i="12"/>
  <c r="AF30" i="12"/>
  <c r="AF28" i="12"/>
  <c r="AF26" i="12"/>
  <c r="AF25" i="12"/>
  <c r="AF16" i="12"/>
  <c r="AF14" i="12"/>
  <c r="AF13" i="12"/>
  <c r="AF11" i="12"/>
  <c r="AF9" i="12"/>
  <c r="AF8" i="12"/>
  <c r="S51" i="12"/>
  <c r="S48" i="12"/>
  <c r="S46" i="12"/>
  <c r="S43" i="12"/>
  <c r="S41" i="12"/>
  <c r="S33" i="12"/>
  <c r="S31" i="12"/>
  <c r="S30" i="12"/>
  <c r="S28" i="12"/>
  <c r="S26" i="12"/>
  <c r="S25" i="12"/>
  <c r="S16" i="12"/>
  <c r="S14" i="12"/>
  <c r="S13" i="12"/>
  <c r="S11" i="12"/>
  <c r="S9" i="12"/>
  <c r="S8" i="12"/>
  <c r="G51" i="12"/>
  <c r="G48" i="12"/>
  <c r="G46" i="12"/>
  <c r="G43" i="12"/>
  <c r="G41" i="12"/>
  <c r="G33" i="12"/>
  <c r="G31" i="12"/>
  <c r="G30" i="12"/>
  <c r="G28" i="12"/>
  <c r="G26" i="12"/>
  <c r="G25" i="12"/>
  <c r="G16" i="12"/>
  <c r="G14" i="12"/>
  <c r="G13" i="12"/>
  <c r="G11" i="12"/>
  <c r="G9" i="12"/>
  <c r="G8" i="12"/>
  <c r="BR31" i="12"/>
  <c r="BR30" i="12"/>
  <c r="BW28" i="12"/>
  <c r="BR28" i="12"/>
  <c r="BW31" i="12"/>
  <c r="BW26" i="12"/>
  <c r="BR26" i="12"/>
  <c r="BW30" i="12"/>
  <c r="BR33" i="12"/>
  <c r="BR11" i="12"/>
  <c r="BW11" i="12"/>
  <c r="BW14" i="12"/>
  <c r="BR14" i="12"/>
  <c r="BW9" i="12"/>
  <c r="BR9" i="12"/>
  <c r="BW13" i="12"/>
  <c r="BR16" i="12"/>
  <c r="P19" i="11"/>
  <c r="Q18" i="11"/>
  <c r="Q17" i="11"/>
  <c r="P17" i="11"/>
  <c r="Q16" i="11"/>
  <c r="P16" i="11"/>
  <c r="P13" i="11"/>
  <c r="Q13" i="11" s="1"/>
  <c r="BW42" i="12" l="1"/>
  <c r="BW44" i="12"/>
  <c r="BR50" i="12"/>
  <c r="BR45" i="12"/>
  <c r="BW50" i="12"/>
  <c r="BQ45" i="12"/>
  <c r="BQ42" i="12"/>
  <c r="BW52" i="12"/>
  <c r="S42" i="12"/>
  <c r="BQ50" i="12"/>
  <c r="BQ44" i="12"/>
  <c r="BQ52" i="12"/>
  <c r="BW49" i="12"/>
  <c r="BW47" i="12"/>
  <c r="BR42" i="12"/>
  <c r="BR52" i="12"/>
  <c r="BR44" i="12"/>
  <c r="BQ49" i="12"/>
  <c r="BQ47" i="12"/>
  <c r="G42" i="12"/>
  <c r="BR49" i="12"/>
  <c r="BR47" i="12"/>
  <c r="BW45" i="12"/>
  <c r="AF52" i="12"/>
  <c r="AF42" i="12"/>
  <c r="BE52" i="12"/>
  <c r="BE42" i="12"/>
  <c r="AS52" i="12"/>
  <c r="AS42" i="12"/>
  <c r="AS45" i="12"/>
  <c r="S52" i="12"/>
  <c r="BE50" i="12"/>
  <c r="AS47" i="12"/>
  <c r="AS50" i="12"/>
  <c r="AS49" i="12"/>
  <c r="AF47" i="12"/>
  <c r="AF45" i="12"/>
  <c r="AF50" i="12"/>
  <c r="AF49" i="12"/>
  <c r="S45" i="12"/>
  <c r="S47" i="12"/>
  <c r="S50" i="12"/>
  <c r="G47" i="12"/>
  <c r="G45" i="12"/>
  <c r="G52" i="12"/>
  <c r="BE45" i="12"/>
  <c r="BE47" i="12"/>
  <c r="BQ8" i="12"/>
  <c r="BQ16" i="12"/>
  <c r="BQ25" i="12"/>
  <c r="BE49" i="12"/>
  <c r="BE44" i="12"/>
  <c r="AS44" i="12"/>
  <c r="AF44" i="12"/>
  <c r="S49" i="12"/>
  <c r="S44" i="12"/>
  <c r="G50" i="12"/>
  <c r="G49" i="12"/>
  <c r="G44" i="12"/>
  <c r="BW25" i="12"/>
  <c r="BW33" i="12"/>
  <c r="BR25" i="12"/>
  <c r="BW8" i="12"/>
  <c r="BR13" i="12"/>
  <c r="BW16" i="12"/>
  <c r="BR8" i="12"/>
  <c r="Q19" i="11"/>
  <c r="P18" i="11"/>
  <c r="Q31" i="11"/>
  <c r="P31" i="11"/>
  <c r="Q30" i="11"/>
  <c r="P30" i="11"/>
  <c r="Q29" i="11"/>
  <c r="P29" i="11"/>
  <c r="Q28" i="11"/>
  <c r="P28" i="11"/>
  <c r="M23" i="11"/>
  <c r="M22" i="11"/>
  <c r="M19" i="11"/>
  <c r="M18" i="11"/>
  <c r="M17" i="11"/>
  <c r="M16" i="11"/>
  <c r="M15" i="11"/>
  <c r="M14" i="11"/>
  <c r="M12" i="11"/>
  <c r="M11" i="11"/>
  <c r="M10" i="11"/>
  <c r="AT33" i="12" l="1"/>
  <c r="AT31" i="12"/>
  <c r="AT30" i="12"/>
  <c r="AT28" i="12"/>
  <c r="AT26" i="12"/>
  <c r="AT25" i="12"/>
  <c r="AT16" i="12"/>
  <c r="AT14" i="12"/>
  <c r="AT13" i="12"/>
  <c r="AT11" i="12"/>
  <c r="AT9" i="12"/>
  <c r="AT8" i="12"/>
  <c r="AL33" i="12"/>
  <c r="AG33" i="12"/>
  <c r="AG31" i="12"/>
  <c r="AG30" i="12"/>
  <c r="AG28" i="12"/>
  <c r="AG26" i="12"/>
  <c r="AG25" i="12"/>
  <c r="AG16" i="12"/>
  <c r="AG14" i="12"/>
  <c r="AG13" i="12"/>
  <c r="AG11" i="12"/>
  <c r="AG9" i="12"/>
  <c r="AG8" i="12"/>
  <c r="Y33" i="12"/>
  <c r="T33" i="12"/>
  <c r="T31" i="12"/>
  <c r="T30" i="12"/>
  <c r="T28" i="12"/>
  <c r="T26" i="12"/>
  <c r="T25" i="12"/>
  <c r="T16" i="12"/>
  <c r="T14" i="12"/>
  <c r="T13" i="12"/>
  <c r="T11" i="12"/>
  <c r="T9" i="12"/>
  <c r="T8" i="12"/>
  <c r="H33" i="12"/>
  <c r="H31" i="12"/>
  <c r="H30" i="12"/>
  <c r="H28" i="12"/>
  <c r="H26" i="12"/>
  <c r="H25" i="12"/>
  <c r="M16" i="12"/>
  <c r="M14" i="12"/>
  <c r="M13" i="12"/>
  <c r="M11" i="12"/>
  <c r="M9" i="12"/>
  <c r="M8" i="12"/>
  <c r="H16" i="12"/>
  <c r="H14" i="12"/>
  <c r="H13" i="12"/>
  <c r="H11" i="12"/>
  <c r="H9" i="12"/>
  <c r="H8" i="12"/>
  <c r="BK33" i="12"/>
  <c r="O56" i="11" l="1"/>
  <c r="A56" i="11"/>
  <c r="P55" i="11"/>
  <c r="M55" i="11"/>
  <c r="P54" i="11"/>
  <c r="M54" i="11"/>
  <c r="P53" i="11"/>
  <c r="M53" i="11"/>
  <c r="P52" i="11"/>
  <c r="Q52" i="11" s="1"/>
  <c r="R52" i="11" s="1"/>
  <c r="M52" i="11"/>
  <c r="Q51" i="11"/>
  <c r="P51" i="11"/>
  <c r="M51" i="11"/>
  <c r="Q50" i="11"/>
  <c r="P50" i="11"/>
  <c r="R50" i="11" s="1"/>
  <c r="M50" i="11"/>
  <c r="Q49" i="11"/>
  <c r="P49" i="11"/>
  <c r="M49" i="11"/>
  <c r="Q48" i="11"/>
  <c r="P48" i="11"/>
  <c r="M48" i="11"/>
  <c r="Q47" i="11"/>
  <c r="P47" i="11"/>
  <c r="M47" i="11"/>
  <c r="Q46" i="11"/>
  <c r="P46" i="11"/>
  <c r="M46" i="11"/>
  <c r="A20" i="11"/>
  <c r="A32" i="11"/>
  <c r="A44" i="11"/>
  <c r="A68" i="11"/>
  <c r="R47" i="11" l="1"/>
  <c r="R48" i="11"/>
  <c r="S48" i="11" s="1"/>
  <c r="T48" i="11" s="1"/>
  <c r="R51" i="11"/>
  <c r="P56" i="11"/>
  <c r="R46" i="11"/>
  <c r="W46" i="11" s="1"/>
  <c r="R49" i="11"/>
  <c r="Q54" i="11"/>
  <c r="R54" i="11" s="1"/>
  <c r="W52" i="11"/>
  <c r="S52" i="11"/>
  <c r="T52" i="11" s="1"/>
  <c r="W50" i="11"/>
  <c r="Q55" i="11"/>
  <c r="R55" i="11" s="1"/>
  <c r="S50" i="11"/>
  <c r="T50" i="11" s="1"/>
  <c r="Q53" i="11"/>
  <c r="P67" i="11"/>
  <c r="M67" i="11"/>
  <c r="P66" i="11"/>
  <c r="M66" i="11"/>
  <c r="P65" i="11"/>
  <c r="Q65" i="11" s="1"/>
  <c r="R65" i="11" s="1"/>
  <c r="M65" i="11"/>
  <c r="P64" i="11"/>
  <c r="M64" i="11"/>
  <c r="Q63" i="11"/>
  <c r="P63" i="11"/>
  <c r="M63" i="11"/>
  <c r="Q62" i="11"/>
  <c r="P62" i="11"/>
  <c r="M62" i="11"/>
  <c r="Q61" i="11"/>
  <c r="P61" i="11"/>
  <c r="M61" i="11"/>
  <c r="Q60" i="11"/>
  <c r="P60" i="11"/>
  <c r="M60" i="11"/>
  <c r="P59" i="11"/>
  <c r="M59" i="11"/>
  <c r="M58" i="11"/>
  <c r="W47" i="11" l="1"/>
  <c r="W51" i="11"/>
  <c r="W49" i="11"/>
  <c r="W48" i="11"/>
  <c r="K48" i="11" s="1"/>
  <c r="S47" i="11"/>
  <c r="T47" i="11" s="1"/>
  <c r="S51" i="11"/>
  <c r="T51" i="11" s="1"/>
  <c r="S46" i="11"/>
  <c r="T46" i="11" s="1"/>
  <c r="Q56" i="11"/>
  <c r="S49" i="11"/>
  <c r="T49" i="11" s="1"/>
  <c r="R53" i="11"/>
  <c r="R62" i="11"/>
  <c r="S54" i="11"/>
  <c r="T54" i="11" s="1"/>
  <c r="W54" i="11"/>
  <c r="K54" i="11" s="1"/>
  <c r="K51" i="11"/>
  <c r="U51" i="11"/>
  <c r="Y51" i="11"/>
  <c r="W55" i="11"/>
  <c r="S55" i="11"/>
  <c r="T55" i="11" s="1"/>
  <c r="U50" i="11"/>
  <c r="Y50" i="11"/>
  <c r="K50" i="11"/>
  <c r="Y46" i="11"/>
  <c r="K46" i="11"/>
  <c r="U46" i="11"/>
  <c r="K52" i="11"/>
  <c r="Y52" i="11"/>
  <c r="U52" i="11"/>
  <c r="K47" i="11"/>
  <c r="U47" i="11"/>
  <c r="Y47" i="11"/>
  <c r="U48" i="11"/>
  <c r="R63" i="11"/>
  <c r="R60" i="11"/>
  <c r="W60" i="11" s="1"/>
  <c r="R61" i="11"/>
  <c r="Q59" i="11"/>
  <c r="R59" i="11" s="1"/>
  <c r="O68" i="11"/>
  <c r="W65" i="11"/>
  <c r="S65" i="11"/>
  <c r="T65" i="11" s="1"/>
  <c r="Q64" i="11"/>
  <c r="R64" i="11" s="1"/>
  <c r="Q67" i="11"/>
  <c r="R67" i="11" s="1"/>
  <c r="P58" i="11"/>
  <c r="P68" i="11" s="1"/>
  <c r="Q58" i="11"/>
  <c r="Q66" i="11"/>
  <c r="R66" i="11" s="1"/>
  <c r="Q39" i="11"/>
  <c r="P39" i="11"/>
  <c r="Q38" i="11"/>
  <c r="P38" i="11"/>
  <c r="Q36" i="11"/>
  <c r="P36" i="11"/>
  <c r="Q35" i="11"/>
  <c r="P35" i="11"/>
  <c r="Q34" i="11"/>
  <c r="P34" i="11"/>
  <c r="Q27" i="11"/>
  <c r="P27" i="11"/>
  <c r="Q26" i="11"/>
  <c r="P26" i="11"/>
  <c r="Q24" i="11"/>
  <c r="P24" i="11"/>
  <c r="Q23" i="11"/>
  <c r="P23" i="11"/>
  <c r="Q22" i="11"/>
  <c r="Q15" i="11"/>
  <c r="P15" i="11"/>
  <c r="Q14" i="11"/>
  <c r="P14" i="11"/>
  <c r="Q12" i="11"/>
  <c r="P12" i="11"/>
  <c r="Q11" i="11"/>
  <c r="Q10" i="11"/>
  <c r="P43" i="11"/>
  <c r="Q43" i="11" s="1"/>
  <c r="R43" i="11" s="1"/>
  <c r="W43" i="11" s="1"/>
  <c r="P42" i="11"/>
  <c r="Q42" i="11" s="1"/>
  <c r="R42" i="11" s="1"/>
  <c r="W42" i="11" s="1"/>
  <c r="K42" i="11" s="1"/>
  <c r="P41" i="11"/>
  <c r="Q41" i="11" s="1"/>
  <c r="P40" i="11"/>
  <c r="Q40" i="11" s="1"/>
  <c r="Q37" i="11"/>
  <c r="P37" i="11"/>
  <c r="M42" i="11"/>
  <c r="M43" i="11"/>
  <c r="M36" i="11"/>
  <c r="R19" i="11"/>
  <c r="W19" i="11" s="1"/>
  <c r="U19" i="11" s="1"/>
  <c r="R18" i="11"/>
  <c r="Q25" i="11"/>
  <c r="P25" i="11"/>
  <c r="R31" i="11"/>
  <c r="W31" i="11" s="1"/>
  <c r="K31" i="11" s="1"/>
  <c r="R30" i="11"/>
  <c r="W30" i="11" s="1"/>
  <c r="M24" i="11"/>
  <c r="M30" i="11"/>
  <c r="M31" i="11"/>
  <c r="W53" i="11" l="1"/>
  <c r="U49" i="11"/>
  <c r="AG56" i="11"/>
  <c r="AY17" i="12" s="1"/>
  <c r="AY53" i="12" s="1"/>
  <c r="R12" i="11"/>
  <c r="K49" i="11"/>
  <c r="Y49" i="11"/>
  <c r="S62" i="11"/>
  <c r="T62" i="11" s="1"/>
  <c r="S63" i="11"/>
  <c r="T63" i="11" s="1"/>
  <c r="Y48" i="11"/>
  <c r="AB48" i="11" s="1"/>
  <c r="AC48" i="11" s="1"/>
  <c r="W61" i="11"/>
  <c r="BL23" i="12"/>
  <c r="S53" i="11"/>
  <c r="T53" i="11" s="1"/>
  <c r="T56" i="11" s="1"/>
  <c r="W63" i="11"/>
  <c r="W62" i="11"/>
  <c r="R56" i="11"/>
  <c r="Y54" i="11"/>
  <c r="AD54" i="11" s="1"/>
  <c r="AE54" i="11" s="1"/>
  <c r="S61" i="11"/>
  <c r="T61" i="11" s="1"/>
  <c r="U54" i="11"/>
  <c r="S60" i="11"/>
  <c r="T60" i="11" s="1"/>
  <c r="W56" i="11"/>
  <c r="AD51" i="11"/>
  <c r="AE51" i="11" s="1"/>
  <c r="AB51" i="11"/>
  <c r="AD50" i="11"/>
  <c r="AB50" i="11"/>
  <c r="AC50" i="11" s="1"/>
  <c r="K55" i="11"/>
  <c r="U55" i="11"/>
  <c r="Y55" i="11"/>
  <c r="AB52" i="11"/>
  <c r="AD52" i="11"/>
  <c r="AD46" i="11"/>
  <c r="AB46" i="11"/>
  <c r="Y53" i="11"/>
  <c r="K53" i="11"/>
  <c r="U53" i="11"/>
  <c r="AD47" i="11"/>
  <c r="AB47" i="11"/>
  <c r="R24" i="11"/>
  <c r="W24" i="11" s="1"/>
  <c r="K24" i="11" s="1"/>
  <c r="R58" i="11"/>
  <c r="S59" i="11"/>
  <c r="T59" i="11" s="1"/>
  <c r="W59" i="11"/>
  <c r="S66" i="11"/>
  <c r="T66" i="11" s="1"/>
  <c r="W66" i="11"/>
  <c r="W64" i="11"/>
  <c r="S64" i="11"/>
  <c r="T64" i="11" s="1"/>
  <c r="Y60" i="11"/>
  <c r="K60" i="11"/>
  <c r="U60" i="11"/>
  <c r="S67" i="11"/>
  <c r="T67" i="11" s="1"/>
  <c r="W67" i="11"/>
  <c r="Q68" i="11"/>
  <c r="Y65" i="11"/>
  <c r="K65" i="11"/>
  <c r="U65" i="11"/>
  <c r="R36" i="11"/>
  <c r="S36" i="11" s="1"/>
  <c r="T36" i="11" s="1"/>
  <c r="P11" i="11"/>
  <c r="W12" i="11"/>
  <c r="K12" i="11" s="1"/>
  <c r="P10" i="11"/>
  <c r="P22" i="11"/>
  <c r="U42" i="11"/>
  <c r="Y42" i="11"/>
  <c r="S42" i="11"/>
  <c r="T42" i="11" s="1"/>
  <c r="K43" i="11"/>
  <c r="U43" i="11"/>
  <c r="Y43" i="11"/>
  <c r="S43" i="11"/>
  <c r="T43" i="11" s="1"/>
  <c r="K30" i="11"/>
  <c r="U30" i="11"/>
  <c r="Y30" i="11"/>
  <c r="S30" i="11"/>
  <c r="T30" i="11" s="1"/>
  <c r="U31" i="11"/>
  <c r="Y31" i="11"/>
  <c r="S31" i="11"/>
  <c r="T31" i="11" s="1"/>
  <c r="W18" i="11"/>
  <c r="S18" i="11"/>
  <c r="T18" i="11" s="1"/>
  <c r="Y19" i="11"/>
  <c r="K19" i="11"/>
  <c r="S19" i="11"/>
  <c r="T19" i="11" s="1"/>
  <c r="S56" i="11" l="1"/>
  <c r="AC47" i="11"/>
  <c r="AE47" i="11"/>
  <c r="AC51" i="11"/>
  <c r="AB49" i="11"/>
  <c r="AD49" i="11"/>
  <c r="AE50" i="11"/>
  <c r="AC52" i="11"/>
  <c r="AE52" i="11"/>
  <c r="AC49" i="11"/>
  <c r="U61" i="11"/>
  <c r="K61" i="11"/>
  <c r="AD48" i="11"/>
  <c r="AE48" i="11" s="1"/>
  <c r="Y61" i="11"/>
  <c r="AD61" i="11" s="1"/>
  <c r="K63" i="11"/>
  <c r="Y62" i="11"/>
  <c r="AD62" i="11" s="1"/>
  <c r="K59" i="11"/>
  <c r="U63" i="11"/>
  <c r="U62" i="11"/>
  <c r="K62" i="11"/>
  <c r="Y63" i="11"/>
  <c r="Y24" i="11"/>
  <c r="AD24" i="11" s="1"/>
  <c r="AE24" i="11" s="1"/>
  <c r="U24" i="11"/>
  <c r="AB54" i="11"/>
  <c r="AC54" i="11" s="1"/>
  <c r="Z56" i="11"/>
  <c r="U59" i="11"/>
  <c r="R68" i="11"/>
  <c r="C77" i="11"/>
  <c r="U56" i="11"/>
  <c r="V56" i="11" s="1"/>
  <c r="S24" i="11"/>
  <c r="T24" i="11" s="1"/>
  <c r="Y56" i="11"/>
  <c r="X56" i="11" s="1"/>
  <c r="AC46" i="11"/>
  <c r="AD55" i="11"/>
  <c r="AE55" i="11" s="1"/>
  <c r="AB55" i="11"/>
  <c r="AC55" i="11" s="1"/>
  <c r="AE46" i="11"/>
  <c r="AD53" i="11"/>
  <c r="AE53" i="11" s="1"/>
  <c r="AB53" i="11"/>
  <c r="AC53" i="11" s="1"/>
  <c r="Y59" i="11"/>
  <c r="S58" i="11"/>
  <c r="T58" i="11" s="1"/>
  <c r="T68" i="11" s="1"/>
  <c r="W36" i="11"/>
  <c r="U36" i="11" s="1"/>
  <c r="W58" i="11"/>
  <c r="BL7" i="12" s="1"/>
  <c r="U67" i="11"/>
  <c r="Y67" i="11"/>
  <c r="K67" i="11"/>
  <c r="Y64" i="11"/>
  <c r="K64" i="11"/>
  <c r="U64" i="11"/>
  <c r="AB65" i="11"/>
  <c r="AC65" i="11" s="1"/>
  <c r="AD65" i="11"/>
  <c r="AE65" i="11" s="1"/>
  <c r="AD60" i="11"/>
  <c r="AE60" i="11" s="1"/>
  <c r="AB60" i="11"/>
  <c r="AC60" i="11" s="1"/>
  <c r="Y66" i="11"/>
  <c r="K66" i="11"/>
  <c r="U66" i="11"/>
  <c r="Y12" i="11"/>
  <c r="AD12" i="11" s="1"/>
  <c r="AE12" i="11" s="1"/>
  <c r="U12" i="11"/>
  <c r="S12" i="11"/>
  <c r="T12" i="11" s="1"/>
  <c r="BL6" i="12"/>
  <c r="AD42" i="11"/>
  <c r="AE42" i="11" s="1"/>
  <c r="AB42" i="11"/>
  <c r="AC42" i="11" s="1"/>
  <c r="AD43" i="11"/>
  <c r="AE43" i="11" s="1"/>
  <c r="AB43" i="11"/>
  <c r="AC43" i="11" s="1"/>
  <c r="AD30" i="11"/>
  <c r="AE30" i="11" s="1"/>
  <c r="AB30" i="11"/>
  <c r="AC30" i="11" s="1"/>
  <c r="AD31" i="11"/>
  <c r="AE31" i="11" s="1"/>
  <c r="AB31" i="11"/>
  <c r="AC31" i="11" s="1"/>
  <c r="Y18" i="11"/>
  <c r="U18" i="11"/>
  <c r="K18" i="11"/>
  <c r="AD19" i="11"/>
  <c r="AE19" i="11" s="1"/>
  <c r="AB19" i="11"/>
  <c r="AC19" i="11" s="1"/>
  <c r="AB61" i="11" l="1"/>
  <c r="AC61" i="11" s="1"/>
  <c r="AE49" i="11"/>
  <c r="AE61" i="11"/>
  <c r="AB62" i="11"/>
  <c r="AC62" i="11" s="1"/>
  <c r="AD64" i="11"/>
  <c r="AE64" i="11" s="1"/>
  <c r="AD63" i="11"/>
  <c r="AG68" i="11"/>
  <c r="BL17" i="12" s="1"/>
  <c r="BL53" i="12" s="1"/>
  <c r="AE62" i="11"/>
  <c r="AB59" i="11"/>
  <c r="AC59" i="11" s="1"/>
  <c r="U58" i="11"/>
  <c r="U68" i="11" s="1"/>
  <c r="AB24" i="11"/>
  <c r="AC24" i="11" s="1"/>
  <c r="AB63" i="11"/>
  <c r="AC63" i="11" s="1"/>
  <c r="Y36" i="11"/>
  <c r="AD36" i="11" s="1"/>
  <c r="AE36" i="11" s="1"/>
  <c r="K36" i="11"/>
  <c r="F77" i="11"/>
  <c r="S68" i="11"/>
  <c r="AD59" i="11"/>
  <c r="AD56" i="11"/>
  <c r="AB56" i="11"/>
  <c r="K58" i="11"/>
  <c r="Y58" i="11"/>
  <c r="BL10" i="12" s="1"/>
  <c r="AB12" i="11"/>
  <c r="AC12" i="11" s="1"/>
  <c r="W68" i="11"/>
  <c r="Z68" i="11" s="1"/>
  <c r="AD66" i="11"/>
  <c r="AE66" i="11" s="1"/>
  <c r="AB66" i="11"/>
  <c r="AC66" i="11" s="1"/>
  <c r="AB64" i="11"/>
  <c r="AD67" i="11"/>
  <c r="AE67" i="11" s="1"/>
  <c r="AB67" i="11"/>
  <c r="AC67" i="11" s="1"/>
  <c r="BL24" i="12"/>
  <c r="AD18" i="11"/>
  <c r="AE18" i="11" s="1"/>
  <c r="AB18" i="11"/>
  <c r="AC18" i="11" s="1"/>
  <c r="AC64" i="11" l="1"/>
  <c r="AE63" i="11"/>
  <c r="AE59" i="11"/>
  <c r="AB58" i="11"/>
  <c r="AB36" i="11"/>
  <c r="AC36" i="11" s="1"/>
  <c r="AD58" i="11"/>
  <c r="BL15" i="12" s="1"/>
  <c r="Y68" i="11"/>
  <c r="X68" i="11" s="1"/>
  <c r="AA56" i="11"/>
  <c r="AC56" i="11"/>
  <c r="AF56" i="11"/>
  <c r="AE56" i="11"/>
  <c r="V68" i="11"/>
  <c r="BL27" i="12"/>
  <c r="BL12" i="12" l="1"/>
  <c r="AC58" i="11"/>
  <c r="AB68" i="11"/>
  <c r="AC68" i="11" s="1"/>
  <c r="AD68" i="11"/>
  <c r="AF68" i="11" s="1"/>
  <c r="AE58" i="11"/>
  <c r="BL29" i="12"/>
  <c r="BL32" i="12"/>
  <c r="AA68" i="11" l="1"/>
  <c r="AE68" i="11"/>
  <c r="BL9" i="12"/>
  <c r="BL33" i="12"/>
  <c r="BL31" i="12"/>
  <c r="BL14" i="12"/>
  <c r="BL11" i="12"/>
  <c r="BL16" i="12"/>
  <c r="BF25" i="12"/>
  <c r="BF26" i="12"/>
  <c r="BF28" i="12"/>
  <c r="BF30" i="12"/>
  <c r="BF31" i="12"/>
  <c r="BF33" i="12"/>
  <c r="AX16" i="12"/>
  <c r="AX14" i="12"/>
  <c r="AX13" i="12"/>
  <c r="AX11" i="12"/>
  <c r="AX9" i="12"/>
  <c r="AX8" i="12"/>
  <c r="AX33" i="12"/>
  <c r="AX31" i="12"/>
  <c r="AX30" i="12"/>
  <c r="AX28" i="12"/>
  <c r="AX26" i="12"/>
  <c r="AX25" i="12"/>
  <c r="AX51" i="12"/>
  <c r="AT51" i="12"/>
  <c r="AX48" i="12"/>
  <c r="AT48" i="12"/>
  <c r="AX46" i="12"/>
  <c r="AT46" i="12"/>
  <c r="AX43" i="12"/>
  <c r="AT43" i="12"/>
  <c r="AX41" i="12"/>
  <c r="AT41" i="12"/>
  <c r="BK51" i="12"/>
  <c r="BF51" i="12"/>
  <c r="BK48" i="12"/>
  <c r="BF48" i="12"/>
  <c r="BK46" i="12"/>
  <c r="BF46" i="12"/>
  <c r="BK43" i="12"/>
  <c r="BF43" i="12"/>
  <c r="BK41" i="12"/>
  <c r="BF41" i="12"/>
  <c r="BF16" i="12"/>
  <c r="BF14" i="12"/>
  <c r="BF13" i="12"/>
  <c r="BF11" i="12"/>
  <c r="BF9" i="12"/>
  <c r="BF8" i="12"/>
  <c r="R40" i="11"/>
  <c r="M40" i="11"/>
  <c r="R28" i="11"/>
  <c r="M28" i="11"/>
  <c r="R16" i="11"/>
  <c r="AT42" i="12" l="1"/>
  <c r="BF42" i="12"/>
  <c r="BK52" i="12"/>
  <c r="BK42" i="12"/>
  <c r="AX52" i="12"/>
  <c r="AX42" i="12"/>
  <c r="BF52" i="12"/>
  <c r="W40" i="11"/>
  <c r="Y40" i="11" s="1"/>
  <c r="AT52" i="12"/>
  <c r="BL28" i="12"/>
  <c r="BL30" i="12"/>
  <c r="BL26" i="12"/>
  <c r="BL25" i="12"/>
  <c r="BL13" i="12"/>
  <c r="BL8" i="12"/>
  <c r="BL51" i="12"/>
  <c r="AT47" i="12"/>
  <c r="AX47" i="12"/>
  <c r="AT49" i="12"/>
  <c r="AX49" i="12"/>
  <c r="AX45" i="12"/>
  <c r="AX50" i="12"/>
  <c r="AT45" i="12"/>
  <c r="AT50" i="12"/>
  <c r="AT44" i="12"/>
  <c r="AX44" i="12"/>
  <c r="BL48" i="12"/>
  <c r="BL41" i="12"/>
  <c r="BL46" i="12"/>
  <c r="BF47" i="12"/>
  <c r="BK47" i="12"/>
  <c r="BK45" i="12"/>
  <c r="BF49" i="12"/>
  <c r="BK49" i="12"/>
  <c r="BF50" i="12"/>
  <c r="BF45" i="12"/>
  <c r="BK50" i="12"/>
  <c r="BL43" i="12"/>
  <c r="BF44" i="12"/>
  <c r="BK44" i="12"/>
  <c r="S40" i="11"/>
  <c r="W28" i="11"/>
  <c r="S28" i="11"/>
  <c r="T28" i="11" s="1"/>
  <c r="S16" i="11"/>
  <c r="W16" i="11"/>
  <c r="O20" i="11"/>
  <c r="P20" i="11"/>
  <c r="O32" i="11"/>
  <c r="P32" i="11"/>
  <c r="P44" i="11"/>
  <c r="O44" i="11"/>
  <c r="U40" i="11" l="1"/>
  <c r="K40" i="11"/>
  <c r="BL42" i="12"/>
  <c r="BL52" i="12"/>
  <c r="Y16" i="11"/>
  <c r="AB16" i="11" s="1"/>
  <c r="O69" i="11"/>
  <c r="P69" i="11"/>
  <c r="BL45" i="12"/>
  <c r="BL49" i="12"/>
  <c r="BL47" i="12"/>
  <c r="BL50" i="12"/>
  <c r="BL44" i="12"/>
  <c r="T40" i="11"/>
  <c r="AD40" i="11"/>
  <c r="AB40" i="11"/>
  <c r="Y28" i="11"/>
  <c r="K28" i="11"/>
  <c r="U28" i="11"/>
  <c r="U16" i="11"/>
  <c r="K16" i="11"/>
  <c r="T16" i="11"/>
  <c r="AE40" i="11" l="1"/>
  <c r="AC40" i="11"/>
  <c r="AD16" i="11"/>
  <c r="AC16" i="11"/>
  <c r="AB28" i="11"/>
  <c r="AD28" i="11"/>
  <c r="AC28" i="11" l="1"/>
  <c r="AE28" i="11"/>
  <c r="AE16" i="11"/>
  <c r="Q44" i="11"/>
  <c r="Q32" i="11" l="1"/>
  <c r="Q20" i="11"/>
  <c r="R25" i="11"/>
  <c r="R13" i="11"/>
  <c r="R41" i="11"/>
  <c r="M41" i="11"/>
  <c r="R29" i="11"/>
  <c r="M29" i="11"/>
  <c r="R17" i="11"/>
  <c r="AL51" i="12"/>
  <c r="AG51" i="12"/>
  <c r="AL48" i="12"/>
  <c r="AG48" i="12"/>
  <c r="AL46" i="12"/>
  <c r="AG46" i="12"/>
  <c r="AL43" i="12"/>
  <c r="AG43" i="12"/>
  <c r="AL41" i="12"/>
  <c r="AG41" i="12"/>
  <c r="Y51" i="12"/>
  <c r="T51" i="12"/>
  <c r="Y48" i="12"/>
  <c r="T48" i="12"/>
  <c r="Y46" i="12"/>
  <c r="T46" i="12"/>
  <c r="Y43" i="12"/>
  <c r="T43" i="12"/>
  <c r="Y41" i="12"/>
  <c r="T41" i="12"/>
  <c r="M51" i="12"/>
  <c r="H51" i="12"/>
  <c r="M48" i="12"/>
  <c r="H48" i="12"/>
  <c r="M46" i="12"/>
  <c r="H46" i="12"/>
  <c r="M43" i="12"/>
  <c r="H43" i="12"/>
  <c r="H41" i="12"/>
  <c r="H42" i="12" l="1"/>
  <c r="T52" i="12"/>
  <c r="T42" i="12"/>
  <c r="Y52" i="12"/>
  <c r="Y42" i="12"/>
  <c r="AL52" i="12"/>
  <c r="AL42" i="12"/>
  <c r="AG52" i="12"/>
  <c r="AG42" i="12"/>
  <c r="N23" i="12"/>
  <c r="Q69" i="11"/>
  <c r="M52" i="12"/>
  <c r="W41" i="11"/>
  <c r="W29" i="11"/>
  <c r="W17" i="11"/>
  <c r="AG49" i="12"/>
  <c r="AL49" i="12"/>
  <c r="AG45" i="12"/>
  <c r="T49" i="12"/>
  <c r="M45" i="12"/>
  <c r="M47" i="12"/>
  <c r="Y50" i="12"/>
  <c r="M44" i="12"/>
  <c r="M50" i="12"/>
  <c r="Y45" i="12"/>
  <c r="AG50" i="12"/>
  <c r="Y47" i="12"/>
  <c r="T45" i="12"/>
  <c r="AG47" i="12"/>
  <c r="AL45" i="12"/>
  <c r="H52" i="12"/>
  <c r="Y49" i="12"/>
  <c r="H45" i="12"/>
  <c r="H47" i="12"/>
  <c r="T50" i="12"/>
  <c r="AL50" i="12"/>
  <c r="H49" i="12"/>
  <c r="T47" i="12"/>
  <c r="AL47" i="12"/>
  <c r="M49" i="12"/>
  <c r="H50" i="12"/>
  <c r="S41" i="11"/>
  <c r="S29" i="11"/>
  <c r="S17" i="11"/>
  <c r="AG44" i="12"/>
  <c r="AL44" i="12"/>
  <c r="T44" i="12"/>
  <c r="Y44" i="12"/>
  <c r="H44" i="12"/>
  <c r="K41" i="11" l="1"/>
  <c r="U29" i="11"/>
  <c r="Y17" i="11"/>
  <c r="AB17" i="11" s="1"/>
  <c r="K17" i="11"/>
  <c r="U17" i="11"/>
  <c r="Y29" i="11"/>
  <c r="K29" i="11"/>
  <c r="Y41" i="11"/>
  <c r="U41" i="11"/>
  <c r="T41" i="11"/>
  <c r="T29" i="11"/>
  <c r="T17" i="11"/>
  <c r="AD41" i="11" l="1"/>
  <c r="AD29" i="11"/>
  <c r="AD17" i="11"/>
  <c r="AC17" i="11"/>
  <c r="AB29" i="11"/>
  <c r="AB41" i="11"/>
  <c r="AC41" i="11" l="1"/>
  <c r="AE41" i="11"/>
  <c r="AC29" i="11"/>
  <c r="AE29" i="11"/>
  <c r="AE17" i="11"/>
  <c r="R37" i="11"/>
  <c r="M37" i="11"/>
  <c r="M25" i="11"/>
  <c r="M13" i="11"/>
  <c r="AY23" i="12" l="1"/>
  <c r="W13" i="11"/>
  <c r="W25" i="11"/>
  <c r="S37" i="11"/>
  <c r="W37" i="11"/>
  <c r="S25" i="11"/>
  <c r="T25" i="11" s="1"/>
  <c r="S13" i="11"/>
  <c r="C76" i="11"/>
  <c r="Y13" i="11" l="1"/>
  <c r="AD13" i="11" s="1"/>
  <c r="F76" i="11"/>
  <c r="K13" i="11"/>
  <c r="T37" i="11"/>
  <c r="T13" i="11"/>
  <c r="AY6" i="12"/>
  <c r="Y25" i="11"/>
  <c r="U25" i="11"/>
  <c r="U13" i="11"/>
  <c r="K25" i="11"/>
  <c r="K37" i="11"/>
  <c r="Y37" i="11"/>
  <c r="U37" i="11"/>
  <c r="AD25" i="11" l="1"/>
  <c r="AE25" i="11" s="1"/>
  <c r="AE13" i="11"/>
  <c r="AB13" i="11"/>
  <c r="AY41" i="12"/>
  <c r="AB25" i="11"/>
  <c r="AY24" i="12"/>
  <c r="AY7" i="12"/>
  <c r="AB37" i="11"/>
  <c r="AD37" i="11"/>
  <c r="AY42" i="12" l="1"/>
  <c r="AC25" i="11"/>
  <c r="AC13" i="11"/>
  <c r="N29" i="12"/>
  <c r="AY27" i="12"/>
  <c r="AY26" i="12" s="1"/>
  <c r="AY43" i="12"/>
  <c r="AY10" i="12"/>
  <c r="AY25" i="12"/>
  <c r="AY8" i="12"/>
  <c r="AE37" i="11"/>
  <c r="AC37" i="11"/>
  <c r="AY12" i="12" l="1"/>
  <c r="AY11" i="12" s="1"/>
  <c r="AY15" i="12"/>
  <c r="AY14" i="12" s="1"/>
  <c r="AY44" i="12"/>
  <c r="AY9" i="12"/>
  <c r="AY46" i="12"/>
  <c r="AY32" i="12"/>
  <c r="AY29" i="12"/>
  <c r="AY16" i="12" l="1"/>
  <c r="AY13" i="12"/>
  <c r="AY33" i="12"/>
  <c r="AY48" i="12"/>
  <c r="AY45" i="12"/>
  <c r="AY51" i="12"/>
  <c r="AY31" i="12"/>
  <c r="AY28" i="12"/>
  <c r="AY30" i="12"/>
  <c r="AY47" i="12" l="1"/>
  <c r="AY49" i="12"/>
  <c r="AY50" i="12"/>
  <c r="AY52" i="12"/>
  <c r="R10" i="11" l="1"/>
  <c r="W10" i="11" l="1"/>
  <c r="K10" i="11" l="1"/>
  <c r="M34" i="11" l="1"/>
  <c r="M39" i="11"/>
  <c r="R14" i="11"/>
  <c r="W14" i="11" l="1"/>
  <c r="M26" i="11"/>
  <c r="M27" i="11"/>
  <c r="M35" i="11"/>
  <c r="M38" i="11"/>
  <c r="R27" i="11"/>
  <c r="R39" i="11"/>
  <c r="R38" i="11"/>
  <c r="R35" i="11"/>
  <c r="R34" i="11"/>
  <c r="R15" i="11"/>
  <c r="R26" i="11"/>
  <c r="R23" i="11"/>
  <c r="R22" i="11"/>
  <c r="R11" i="11"/>
  <c r="C73" i="11" l="1"/>
  <c r="F73" i="11" s="1"/>
  <c r="C74" i="11"/>
  <c r="F74" i="11" s="1"/>
  <c r="N6" i="12"/>
  <c r="AM6" i="12"/>
  <c r="C75" i="11"/>
  <c r="R20" i="11"/>
  <c r="R44" i="11"/>
  <c r="R32" i="11"/>
  <c r="AM23" i="12"/>
  <c r="Z23" i="12"/>
  <c r="Z6" i="12"/>
  <c r="W35" i="11"/>
  <c r="S23" i="11"/>
  <c r="W34" i="11"/>
  <c r="W22" i="11"/>
  <c r="S34" i="11"/>
  <c r="W38" i="11"/>
  <c r="W39" i="11"/>
  <c r="W27" i="11"/>
  <c r="W26" i="11"/>
  <c r="S15" i="11"/>
  <c r="S22" i="11"/>
  <c r="W15" i="11"/>
  <c r="S27" i="11"/>
  <c r="S38" i="11"/>
  <c r="S11" i="11"/>
  <c r="S10" i="11"/>
  <c r="T10" i="11" s="1"/>
  <c r="S35" i="11"/>
  <c r="W23" i="11"/>
  <c r="W11" i="11"/>
  <c r="S26" i="11"/>
  <c r="S39" i="11"/>
  <c r="K14" i="11"/>
  <c r="Y14" i="11"/>
  <c r="S14" i="11"/>
  <c r="T14" i="11" s="1"/>
  <c r="U14" i="11"/>
  <c r="K39" i="11" l="1"/>
  <c r="K38" i="11"/>
  <c r="K35" i="11"/>
  <c r="Y26" i="11"/>
  <c r="AB26" i="11" s="1"/>
  <c r="AC26" i="11" s="1"/>
  <c r="K27" i="11"/>
  <c r="Y23" i="11"/>
  <c r="AD14" i="11"/>
  <c r="AE14" i="11" s="1"/>
  <c r="BX23" i="12"/>
  <c r="BX6" i="12"/>
  <c r="N7" i="12"/>
  <c r="F75" i="11"/>
  <c r="D75" i="11"/>
  <c r="D74" i="11"/>
  <c r="D76" i="11"/>
  <c r="D77" i="11"/>
  <c r="D73" i="11"/>
  <c r="R69" i="11"/>
  <c r="T15" i="11"/>
  <c r="T39" i="11"/>
  <c r="W20" i="11"/>
  <c r="S20" i="11"/>
  <c r="W32" i="11"/>
  <c r="S32" i="11"/>
  <c r="T34" i="11"/>
  <c r="S44" i="11"/>
  <c r="W44" i="11"/>
  <c r="T26" i="11"/>
  <c r="T38" i="11"/>
  <c r="T22" i="11"/>
  <c r="T23" i="11"/>
  <c r="T27" i="11"/>
  <c r="T11" i="11"/>
  <c r="T35" i="11"/>
  <c r="N41" i="12"/>
  <c r="AM41" i="12"/>
  <c r="Z41" i="12"/>
  <c r="AM24" i="12"/>
  <c r="Y35" i="11"/>
  <c r="U35" i="11"/>
  <c r="AM7" i="12"/>
  <c r="Z24" i="12"/>
  <c r="N24" i="12"/>
  <c r="Z7" i="12"/>
  <c r="Y34" i="11"/>
  <c r="Y22" i="11"/>
  <c r="U34" i="11"/>
  <c r="U38" i="11"/>
  <c r="K34" i="11"/>
  <c r="K22" i="11"/>
  <c r="U27" i="11"/>
  <c r="Y38" i="11"/>
  <c r="U39" i="11"/>
  <c r="Y27" i="11"/>
  <c r="U22" i="11"/>
  <c r="U10" i="11"/>
  <c r="Y39" i="11"/>
  <c r="K26" i="11"/>
  <c r="U26" i="11"/>
  <c r="Y10" i="11"/>
  <c r="K15" i="11"/>
  <c r="U15" i="11"/>
  <c r="AG20" i="11" s="1"/>
  <c r="N17" i="12" s="1"/>
  <c r="N53" i="12" s="1"/>
  <c r="Y15" i="11"/>
  <c r="K23" i="11"/>
  <c r="U23" i="11"/>
  <c r="K11" i="11"/>
  <c r="Y11" i="11"/>
  <c r="U11" i="11"/>
  <c r="AB14" i="11"/>
  <c r="Z43" i="12" l="1"/>
  <c r="AB23" i="11"/>
  <c r="AC23" i="11" s="1"/>
  <c r="AD23" i="11"/>
  <c r="BX41" i="12"/>
  <c r="BX42" i="12" s="1"/>
  <c r="Z42" i="12"/>
  <c r="AM42" i="12"/>
  <c r="N42" i="12"/>
  <c r="AD38" i="11"/>
  <c r="AE38" i="11" s="1"/>
  <c r="AD39" i="11"/>
  <c r="AB35" i="11"/>
  <c r="AC35" i="11" s="1"/>
  <c r="AD26" i="11"/>
  <c r="AD27" i="11"/>
  <c r="BX24" i="12"/>
  <c r="BX25" i="12" s="1"/>
  <c r="BX7" i="12"/>
  <c r="AG44" i="11"/>
  <c r="AM17" i="12" s="1"/>
  <c r="AM53" i="12" s="1"/>
  <c r="AG32" i="11"/>
  <c r="Z17" i="12" s="1"/>
  <c r="Z53" i="12" s="1"/>
  <c r="S69" i="11"/>
  <c r="U72" i="11" s="1"/>
  <c r="W69" i="11"/>
  <c r="U71" i="11"/>
  <c r="T20" i="11"/>
  <c r="Y20" i="11"/>
  <c r="U20" i="11"/>
  <c r="Z44" i="11"/>
  <c r="Z20" i="11"/>
  <c r="U32" i="11"/>
  <c r="T32" i="11"/>
  <c r="Z32" i="11"/>
  <c r="Y32" i="11"/>
  <c r="U44" i="11"/>
  <c r="T44" i="11"/>
  <c r="AD34" i="11"/>
  <c r="Y44" i="11"/>
  <c r="AD35" i="11"/>
  <c r="AM25" i="12"/>
  <c r="AE23" i="11"/>
  <c r="Z27" i="12"/>
  <c r="N43" i="12"/>
  <c r="N10" i="12"/>
  <c r="AM8" i="12"/>
  <c r="AM43" i="12"/>
  <c r="Z10" i="12"/>
  <c r="AM10" i="12"/>
  <c r="N27" i="12"/>
  <c r="N25" i="12"/>
  <c r="Z25" i="12"/>
  <c r="AM27" i="12"/>
  <c r="Z8" i="12"/>
  <c r="AB34" i="11"/>
  <c r="AD22" i="11"/>
  <c r="AM29" i="12"/>
  <c r="AB22" i="11"/>
  <c r="N8" i="12"/>
  <c r="AB38" i="11"/>
  <c r="AB39" i="11"/>
  <c r="AC39" i="11" s="1"/>
  <c r="AB27" i="11"/>
  <c r="AB10" i="11"/>
  <c r="AD10" i="11"/>
  <c r="AB15" i="11"/>
  <c r="AC15" i="11" s="1"/>
  <c r="AD15" i="11"/>
  <c r="AB11" i="11"/>
  <c r="AD11" i="11"/>
  <c r="AC14" i="11"/>
  <c r="BX8" i="12" l="1"/>
  <c r="BX43" i="12"/>
  <c r="AE39" i="11"/>
  <c r="AE35" i="11"/>
  <c r="AE34" i="11"/>
  <c r="AC38" i="11"/>
  <c r="AE26" i="11"/>
  <c r="AC27" i="11"/>
  <c r="AE27" i="11"/>
  <c r="AE15" i="11"/>
  <c r="BX27" i="12"/>
  <c r="BX26" i="12" s="1"/>
  <c r="BX10" i="12"/>
  <c r="N26" i="12"/>
  <c r="N28" i="12"/>
  <c r="U69" i="11"/>
  <c r="V69" i="11" s="1"/>
  <c r="Y69" i="11"/>
  <c r="X69" i="11" s="1"/>
  <c r="T69" i="11"/>
  <c r="U73" i="11"/>
  <c r="U77" i="11" s="1"/>
  <c r="X32" i="11"/>
  <c r="V32" i="11"/>
  <c r="X20" i="11"/>
  <c r="V20" i="11"/>
  <c r="AB20" i="11"/>
  <c r="AD20" i="11"/>
  <c r="V44" i="11"/>
  <c r="X44" i="11"/>
  <c r="AD32" i="11"/>
  <c r="AB32" i="11"/>
  <c r="AA32" i="11" s="1"/>
  <c r="Z69" i="11"/>
  <c r="AC34" i="11"/>
  <c r="AB44" i="11"/>
  <c r="AM15" i="12"/>
  <c r="AM16" i="12" s="1"/>
  <c r="AD44" i="11"/>
  <c r="AC11" i="11"/>
  <c r="N44" i="12"/>
  <c r="Z44" i="12"/>
  <c r="Z26" i="12"/>
  <c r="AM26" i="12"/>
  <c r="Z15" i="12"/>
  <c r="N9" i="12"/>
  <c r="AM9" i="12"/>
  <c r="AM46" i="12"/>
  <c r="Z9" i="12"/>
  <c r="Z46" i="12"/>
  <c r="AM44" i="12"/>
  <c r="N46" i="12"/>
  <c r="N32" i="12"/>
  <c r="Z12" i="12"/>
  <c r="Z32" i="12"/>
  <c r="AE22" i="11"/>
  <c r="Z29" i="12"/>
  <c r="BX29" i="12" s="1"/>
  <c r="AM12" i="12"/>
  <c r="AM32" i="12"/>
  <c r="AM28" i="12"/>
  <c r="AM30" i="12"/>
  <c r="N15" i="12"/>
  <c r="N12" i="12"/>
  <c r="AC22" i="11"/>
  <c r="AC10" i="11"/>
  <c r="AE10" i="11"/>
  <c r="AE11" i="11"/>
  <c r="BX46" i="12" l="1"/>
  <c r="BX44" i="12"/>
  <c r="BX15" i="12"/>
  <c r="N16" i="12"/>
  <c r="N51" i="12"/>
  <c r="BX12" i="12"/>
  <c r="BX48" i="12" s="1"/>
  <c r="BX32" i="12"/>
  <c r="BX28" i="12"/>
  <c r="BX30" i="12"/>
  <c r="BX9" i="12"/>
  <c r="AD69" i="11"/>
  <c r="AB69" i="11"/>
  <c r="AA69" i="11" s="1"/>
  <c r="U74" i="11"/>
  <c r="U75" i="11" s="1"/>
  <c r="AM14" i="12"/>
  <c r="AF20" i="11"/>
  <c r="AE20" i="11"/>
  <c r="AA20" i="11"/>
  <c r="AC20" i="11"/>
  <c r="AC32" i="11"/>
  <c r="AF32" i="11"/>
  <c r="AE32" i="11"/>
  <c r="AF44" i="11"/>
  <c r="AE44" i="11"/>
  <c r="AA44" i="11"/>
  <c r="AC44" i="11"/>
  <c r="AM48" i="12"/>
  <c r="Z30" i="12"/>
  <c r="Z16" i="12"/>
  <c r="Z45" i="12"/>
  <c r="AM51" i="12"/>
  <c r="Z33" i="12"/>
  <c r="AM45" i="12"/>
  <c r="Z14" i="12"/>
  <c r="N30" i="12"/>
  <c r="N33" i="12"/>
  <c r="N14" i="12"/>
  <c r="Z13" i="12"/>
  <c r="Z48" i="12"/>
  <c r="N45" i="12"/>
  <c r="N48" i="12"/>
  <c r="Z51" i="12"/>
  <c r="N31" i="12"/>
  <c r="Z11" i="12"/>
  <c r="Z31" i="12"/>
  <c r="Z28" i="12"/>
  <c r="AM31" i="12"/>
  <c r="AM33" i="12"/>
  <c r="AM11" i="12"/>
  <c r="AM13" i="12"/>
  <c r="N13" i="12"/>
  <c r="N11" i="12"/>
  <c r="BX45" i="12" l="1"/>
  <c r="BX49" i="12"/>
  <c r="BX47" i="12"/>
  <c r="BX16" i="12"/>
  <c r="BX51" i="12"/>
  <c r="Z52" i="12"/>
  <c r="AM52" i="12"/>
  <c r="BX14" i="12"/>
  <c r="BX11" i="12"/>
  <c r="BX13" i="12"/>
  <c r="BX31" i="12"/>
  <c r="BX33" i="12"/>
  <c r="AM47" i="12"/>
  <c r="AC69" i="11"/>
  <c r="AF69" i="11"/>
  <c r="AE69" i="11"/>
  <c r="AM50" i="12"/>
  <c r="AM49" i="12"/>
  <c r="N50" i="12"/>
  <c r="N52" i="12"/>
  <c r="Z50" i="12"/>
  <c r="Z47" i="12"/>
  <c r="Z49" i="12"/>
  <c r="N47" i="12"/>
  <c r="N49" i="12"/>
  <c r="BX50" i="12" l="1"/>
  <c r="BX52" i="12"/>
</calcChain>
</file>

<file path=xl/sharedStrings.xml><?xml version="1.0" encoding="utf-8"?>
<sst xmlns="http://schemas.openxmlformats.org/spreadsheetml/2006/main" count="8110" uniqueCount="573">
  <si>
    <t xml:space="preserve">Campaign Name: </t>
  </si>
  <si>
    <t>Beauty 2022</t>
  </si>
  <si>
    <t>PO number</t>
  </si>
  <si>
    <t>Beginning date - 01.01.2022</t>
  </si>
  <si>
    <t>Expiry date - 31.03.22</t>
  </si>
  <si>
    <t>единицы закупки</t>
  </si>
  <si>
    <t>Category</t>
  </si>
  <si>
    <t>Funnel Stage</t>
  </si>
  <si>
    <t>Campaign</t>
  </si>
  <si>
    <t>Ad Site</t>
  </si>
  <si>
    <t>Ad Placement</t>
  </si>
  <si>
    <t>Format</t>
  </si>
  <si>
    <t>Targeting</t>
  </si>
  <si>
    <t>Geo Targeting</t>
  </si>
  <si>
    <t>Units Qty total</t>
  </si>
  <si>
    <t>Buy Type</t>
  </si>
  <si>
    <t>Ratecard
(cost per unit)</t>
  </si>
  <si>
    <t xml:space="preserve">Activity Time Range </t>
  </si>
  <si>
    <t>January</t>
  </si>
  <si>
    <t>February</t>
  </si>
  <si>
    <t>March</t>
  </si>
  <si>
    <t>Budget excl. fee, RUR NET</t>
  </si>
  <si>
    <t>Agency fee, RUR Net</t>
  </si>
  <si>
    <t>Budget incl. fee, RUR NET</t>
  </si>
  <si>
    <t>Impressions</t>
  </si>
  <si>
    <t>CTR</t>
  </si>
  <si>
    <t>Clicks</t>
  </si>
  <si>
    <t>Drop-off</t>
  </si>
  <si>
    <t>Visits</t>
  </si>
  <si>
    <t>Cost per click, RUR NET</t>
  </si>
  <si>
    <t>BR</t>
  </si>
  <si>
    <t>Quality visits</t>
  </si>
  <si>
    <t>CPQV</t>
  </si>
  <si>
    <t>Buy Lead Conversions</t>
  </si>
  <si>
    <t>CPBL</t>
  </si>
  <si>
    <t>Conv.Rate</t>
  </si>
  <si>
    <t>SOI</t>
  </si>
  <si>
    <t>Code</t>
  </si>
  <si>
    <t>Marker</t>
  </si>
  <si>
    <t>Heating Brush</t>
  </si>
  <si>
    <t>Active Evaluation</t>
  </si>
  <si>
    <t>Paid Search</t>
  </si>
  <si>
    <t>Yandex Direct</t>
  </si>
  <si>
    <t>Search: Brand Keywords</t>
  </si>
  <si>
    <t>Search</t>
  </si>
  <si>
    <t>Text ad</t>
  </si>
  <si>
    <t>Keywords</t>
  </si>
  <si>
    <t>Russia</t>
  </si>
  <si>
    <t>CPC</t>
  </si>
  <si>
    <t>3 months *</t>
  </si>
  <si>
    <t>n/a</t>
  </si>
  <si>
    <t>Digital - Search \ Paid Search Engine_162</t>
  </si>
  <si>
    <t>Consideration</t>
  </si>
  <si>
    <t>Search: Product Keywords</t>
  </si>
  <si>
    <r>
      <t xml:space="preserve">MCB: </t>
    </r>
    <r>
      <rPr>
        <sz val="9"/>
        <rFont val="Tahoma"/>
        <family val="2"/>
        <charset val="204"/>
      </rPr>
      <t>Brand</t>
    </r>
    <r>
      <rPr>
        <sz val="9"/>
        <rFont val="Tahoma"/>
        <family val="2"/>
      </rPr>
      <t xml:space="preserve"> Keywords</t>
    </r>
  </si>
  <si>
    <t>Banner, 240x400</t>
  </si>
  <si>
    <r>
      <t xml:space="preserve">Network: </t>
    </r>
    <r>
      <rPr>
        <sz val="9"/>
        <rFont val="Tahoma"/>
        <family val="2"/>
        <charset val="204"/>
      </rPr>
      <t>Brand</t>
    </r>
    <r>
      <rPr>
        <sz val="9"/>
        <rFont val="Tahoma"/>
        <family val="2"/>
      </rPr>
      <t xml:space="preserve"> Keywords</t>
    </r>
  </si>
  <si>
    <t>Network</t>
  </si>
  <si>
    <t>Text+banners</t>
  </si>
  <si>
    <t>W 18-44: Keywords</t>
  </si>
  <si>
    <t>Google Adwords</t>
  </si>
  <si>
    <t>Network Smart</t>
  </si>
  <si>
    <t>Smart</t>
  </si>
  <si>
    <t>Network Discovery: Custom Intent (Brand Keywords)</t>
  </si>
  <si>
    <t>W 18-44BC: Custom Intent (Keywords)</t>
  </si>
  <si>
    <t>Network Discovery: Custom Intent (Product Keywords)</t>
  </si>
  <si>
    <t>Awareness</t>
  </si>
  <si>
    <t>Network Discovery: Custom Intent (Generic Keywords and Competitors Keywords) and interest</t>
  </si>
  <si>
    <t>W 18-44BC: Custom Intent (Keywords) and Interests</t>
  </si>
  <si>
    <t>Straightener SenseIQ</t>
  </si>
  <si>
    <t>Straightener</t>
  </si>
  <si>
    <r>
      <t xml:space="preserve">MCB: </t>
    </r>
    <r>
      <rPr>
        <sz val="9"/>
        <rFont val="Tahoma"/>
        <family val="2"/>
        <charset val="204"/>
      </rPr>
      <t>Brand;</t>
    </r>
    <r>
      <rPr>
        <sz val="9"/>
        <rFont val="Tahoma"/>
        <family val="2"/>
      </rPr>
      <t xml:space="preserve"> Product Keywords</t>
    </r>
  </si>
  <si>
    <t>W 25-44: Keywords</t>
  </si>
  <si>
    <t>W 25-44BC: Custom Intent (Keywords)</t>
  </si>
  <si>
    <t>W 25-44BC: Custom Intent (Keywords) and Interests</t>
  </si>
  <si>
    <t>Hair Dryer SenseIQ</t>
  </si>
  <si>
    <t>Hair Dryer</t>
  </si>
  <si>
    <t>Network: Brand Keywords</t>
  </si>
  <si>
    <t>Network Discovery: Custom Intent (Generic Keywords and Competitors Keywords) and Interest</t>
  </si>
  <si>
    <t>Autocurler SenseIQ</t>
  </si>
  <si>
    <t>Autocurler</t>
  </si>
  <si>
    <t>Epilation</t>
  </si>
  <si>
    <t>TOTAL</t>
  </si>
  <si>
    <t>Category Split</t>
  </si>
  <si>
    <t>Budget NET(w/o AC)</t>
  </si>
  <si>
    <t>Total Budget</t>
  </si>
  <si>
    <t>%</t>
  </si>
  <si>
    <t>Budget Brief</t>
  </si>
  <si>
    <t>∆</t>
  </si>
  <si>
    <t>AC</t>
  </si>
  <si>
    <t>Total</t>
  </si>
  <si>
    <t>VAT</t>
  </si>
  <si>
    <t>Total incl VAT</t>
  </si>
  <si>
    <t>Heating Brush Search</t>
  </si>
  <si>
    <t>Straightener Search</t>
  </si>
  <si>
    <t>Hair Dryer Search</t>
  </si>
  <si>
    <t>Autocurler Search</t>
  </si>
  <si>
    <t>Fem Dep Search</t>
  </si>
  <si>
    <t>Total Search</t>
  </si>
  <si>
    <t>Q4 2020 Fact</t>
  </si>
  <si>
    <t>Q1 2021 Fact</t>
  </si>
  <si>
    <t>Q4 2021 Fact</t>
  </si>
  <si>
    <t xml:space="preserve"> Plan Q1 2022</t>
  </si>
  <si>
    <t>Drop-off rate</t>
  </si>
  <si>
    <t>Bounce rate</t>
  </si>
  <si>
    <t>Quality Visits</t>
  </si>
  <si>
    <t>Buy Lead Rate</t>
  </si>
  <si>
    <t>Buy Leads</t>
  </si>
  <si>
    <t>Heating Brush Network</t>
  </si>
  <si>
    <t>Straightener Network</t>
  </si>
  <si>
    <t>Hair Dryer Network</t>
  </si>
  <si>
    <t>Autocurler Network</t>
  </si>
  <si>
    <t>Fem Dep Network</t>
  </si>
  <si>
    <t>Total  Network</t>
  </si>
  <si>
    <t>Heating Brush Total</t>
  </si>
  <si>
    <t>Straightener Total</t>
  </si>
  <si>
    <t>Hair Dryer Total</t>
  </si>
  <si>
    <t>Autocurler Total</t>
  </si>
  <si>
    <t>Fem Dep Total</t>
  </si>
  <si>
    <t>Budget</t>
  </si>
  <si>
    <t>CR</t>
  </si>
  <si>
    <t>MCB</t>
  </si>
  <si>
    <t>Femdep</t>
  </si>
  <si>
    <t>-</t>
  </si>
  <si>
    <t>TOTAL WEEK</t>
  </si>
  <si>
    <t>TOTAL NETWORK</t>
  </si>
  <si>
    <t>TOTAL SEARCH</t>
  </si>
  <si>
    <t>SOI Google Brand</t>
  </si>
  <si>
    <t>SOI Google Product</t>
  </si>
  <si>
    <t>SOI Google (Brand+Product)</t>
  </si>
  <si>
    <t>Impr. (Top) Google
(All)</t>
  </si>
  <si>
    <t>Av. Position Yandex (All)</t>
  </si>
  <si>
    <t>Comments Network</t>
  </si>
  <si>
    <t>Comments Search</t>
  </si>
  <si>
    <t>Plan Q4</t>
  </si>
  <si>
    <t>Plan 1 week</t>
  </si>
  <si>
    <t>Total Fact Q3 2021</t>
  </si>
  <si>
    <t>Total Fact Q4 2020</t>
  </si>
  <si>
    <t>04.10.21-10.10.21</t>
  </si>
  <si>
    <t>tot</t>
  </si>
  <si>
    <t>04.10.21-10.10.21Heating BrushBrandSearchYandex Direct</t>
  </si>
  <si>
    <t>Heating BrushBrandSearchYandex Direct</t>
  </si>
  <si>
    <t>Brand</t>
  </si>
  <si>
    <t>04.10.21-10.10.21Heating BrushProductSearchYandex Direct</t>
  </si>
  <si>
    <t>Heating BrushProductSearchYandex Direct</t>
  </si>
  <si>
    <t>Product</t>
  </si>
  <si>
    <t>04.10.21-10.10.21Heating BrushNetworkNetworkYandex Direct</t>
  </si>
  <si>
    <t>Heating BrushNetworkNetworkYandex Direct</t>
  </si>
  <si>
    <t>04.10.21-10.10.21Heating BrushMCBSearchYandex Direct</t>
  </si>
  <si>
    <t>Heating BrushMCBSearchYandex Direct</t>
  </si>
  <si>
    <t>04.10.21-10.10.21Heating BrushBrandSearchGoogle Adwords</t>
  </si>
  <si>
    <t>Heating BrushBrandSearchGoogle Adwords</t>
  </si>
  <si>
    <t>04.10.21-10.10.21Heating BrushProductSearchGoogle Adwords</t>
  </si>
  <si>
    <t>Heating BrushProductSearchGoogle Adwords</t>
  </si>
  <si>
    <t>04.10.21-10.10.21Heating BrushNetworkNetworkGoogle Adwords</t>
  </si>
  <si>
    <t>Heating BrushNetworkNetworkGoogle Adwords</t>
  </si>
  <si>
    <t>11.10.21-17.10.21</t>
  </si>
  <si>
    <t>Google: Усиляем Custom Affinity как наиболее эффетивную с т.з. Buy Leads;
Yandex: Усиляем Бренд и Конкурентов</t>
  </si>
  <si>
    <t>Часть продуктовых запросов отключаем</t>
  </si>
  <si>
    <t>11.10.21-17.10.21Heating BrushBrandSearchYandex Direct</t>
  </si>
  <si>
    <t>11.10.21-17.10.21Heating BrushProductSearchYandex Direct</t>
  </si>
  <si>
    <t>11.10.21-17.10.21Heating BrushNetworkNetworkYandex Direct</t>
  </si>
  <si>
    <t>11.10.21-17.10.21Heating BrushMCBSearchYandex Direct</t>
  </si>
  <si>
    <t>11.10.21-17.10.21Heating BrushBrandSearchGoogle Adwords</t>
  </si>
  <si>
    <t>11.10.21-17.10.21Heating BrushProductSearchGoogle Adwords</t>
  </si>
  <si>
    <t>11.10.21-17.10.21Heating BrushNetworkNetworkGoogle Adwords</t>
  </si>
  <si>
    <t>18.10.21-24.10.21</t>
  </si>
  <si>
    <t>Yandex: Отключить джереник-запросы, т.к. они имеют наихудшую эффективность с т.з. конверсий;
Google: Проседаем из-за смарт-кампаний, т.к. им требуется больше времени и данных для обучения</t>
  </si>
  <si>
    <t>Yandex: Идём в плане в поиске, МКБ показывает себя не очень эффективно - отключить дженерик и продуктовые запросы.
Google: Наблюдаем положительную динамику по конверсионности</t>
  </si>
  <si>
    <t>18.10.21-24.10.21Heating BrushBrandSearchYandex Direct</t>
  </si>
  <si>
    <t>18.10.21-24.10.21Heating BrushProductSearchYandex Direct</t>
  </si>
  <si>
    <t>18.10.21-24.10.21Heating BrushNetworkNetworkYandex Direct</t>
  </si>
  <si>
    <t>18.10.21-24.10.21Heating BrushMCBSearchYandex Direct</t>
  </si>
  <si>
    <t>18.10.21-24.10.21Heating BrushBrandSearchGoogle Adwords</t>
  </si>
  <si>
    <t>18.10.21-24.10.21Heating BrushProductSearchGoogle Adwords</t>
  </si>
  <si>
    <t>18.10.21-24.10.21Heating BrushNetworkNetworkGoogle Adwords</t>
  </si>
  <si>
    <t>25.10.21-31.10.21</t>
  </si>
  <si>
    <t>Добавлена оптимизация по SOI для бренд-кампаний в Google</t>
  </si>
  <si>
    <t>25.10.21-31.10.21Heating BrushBrandSearchYandex Direct</t>
  </si>
  <si>
    <t>25.10.21-31.10.21Heating BrushProductSearchYandex Direct</t>
  </si>
  <si>
    <t>25.10.21-31.10.21Heating BrushNetworkNetworkYandex Direct</t>
  </si>
  <si>
    <t>25.10.21-31.10.21Heating BrushMCBSearchYandex Direct</t>
  </si>
  <si>
    <t>25.10.21-31.10.21Heating BrushBrandSearchGoogle Adwords</t>
  </si>
  <si>
    <t>25.10.21-31.10.21Heating BrushProductSearchGoogle Adwords</t>
  </si>
  <si>
    <t>25.10.21-31.10.21Heating BrushNetworkNetworkGoogle Adwords</t>
  </si>
  <si>
    <t>01.11.21-07.11.21</t>
  </si>
  <si>
    <t>Кампании имеют положительную динамику.
Google: Отключили Smart-кампанию, поскольку она показывает наихудхую эффективность из-за нехватки данных для обучения при небольших бюджетах.</t>
  </si>
  <si>
    <t>Наблюдаем положительную динамику по конверсионности и SOI
Yandex: Отключили МКБ по дженерик и продуктовым запросам.</t>
  </si>
  <si>
    <t>01.11.21-07.11.21Heating BrushBrandSearchYandex Direct</t>
  </si>
  <si>
    <t>01.11.21-07.11.21Heating BrushProductSearchYandex Direct</t>
  </si>
  <si>
    <t>01.11.21-07.11.21Heating BrushNetworkNetworkYandex Direct</t>
  </si>
  <si>
    <t>01.11.21-07.11.21Heating BrushMCBSearchYandex Direct</t>
  </si>
  <si>
    <t>01.11.21-07.11.21Heating BrushBrandSearchGoogle Adwords</t>
  </si>
  <si>
    <t>01.11.21-07.11.21Heating BrushProductSearchGoogle Adwords</t>
  </si>
  <si>
    <t>01.11.21-07.11.21Heating BrushNetworkNetworkGoogle Adwords</t>
  </si>
  <si>
    <t>08.11.21-14.11.21</t>
  </si>
  <si>
    <t>08.11.21-14.11.21Heating BrushBrandSearchYandex Direct</t>
  </si>
  <si>
    <t>08.11.21-14.11.21Heating BrushProductSearchYandex Direct</t>
  </si>
  <si>
    <t>08.11.21-14.11.21Heating BrushNetworkNetworkYandex Direct</t>
  </si>
  <si>
    <t>08.11.21-14.11.21Heating BrushMCBSearchYandex Direct</t>
  </si>
  <si>
    <t>08.11.21-14.11.21Heating BrushBrandSearchGoogle Adwords</t>
  </si>
  <si>
    <t>08.11.21-14.11.21Heating BrushProductSearchGoogle Adwords</t>
  </si>
  <si>
    <t>08.11.21-14.11.21Heating BrushNetworkNetworkGoogle Adwords</t>
  </si>
  <si>
    <t>15.11.21-21.11.21</t>
  </si>
  <si>
    <t>15.11.21-21.11.21Heating BrushBrandSearchYandex Direct</t>
  </si>
  <si>
    <t>15.11.21-21.11.21Heating BrushProductSearchYandex Direct</t>
  </si>
  <si>
    <t>15.11.21-21.11.21Heating BrushNetworkNetworkYandex Direct</t>
  </si>
  <si>
    <t>15.11.21-21.11.21Heating BrushMCBSearchYandex Direct</t>
  </si>
  <si>
    <t>15.11.21-21.11.21Heating BrushBrandSearchGoogle Adwords</t>
  </si>
  <si>
    <t>15.11.21-21.11.21Heating BrushProductSearchGoogle Adwords</t>
  </si>
  <si>
    <t>15.11.21-21.11.21Heating BrushNetworkNetworkGoogle Adwords</t>
  </si>
  <si>
    <t>22.11.21-28.11.21</t>
  </si>
  <si>
    <t>Минимизировали бюджет на Яндексе; Усилили Google, 
однако Google пока не "разогнался", поэтому имеем отставание по количественным метрикам.
В конце недели в Google разделили аудитории Custom Intent по воронке - на бренд, компет и дженерик, а также
изменили модель оптимизации с "максимум конверсий" на "целевая цена за конверсию".
В тотале наблюдаем положительную динамику по конверсионности</t>
  </si>
  <si>
    <t>В конце недели в Google изменили модель оптимизации с "максимум конверсий" на "целевая цена за конверсию" - наблюдаем положительную динамику по конверсионности.</t>
  </si>
  <si>
    <t>22.11.21-28.11.21Heating BrushBrandSearchYandex Direct</t>
  </si>
  <si>
    <t>22.11.21-28.11.21Heating BrushProductSearchYandex Direct</t>
  </si>
  <si>
    <t>22.11.21-28.11.21Heating BrushNetworkNetworkYandex Direct</t>
  </si>
  <si>
    <t>22.11.21-28.11.21Heating BrushMCBSearchYandex Direct</t>
  </si>
  <si>
    <t>22.11.21-28.11.21Heating BrushBrandSearchGoogle Adwords</t>
  </si>
  <si>
    <t>22.11.21-28.11.21Heating BrushProductSearchGoogle Adwords</t>
  </si>
  <si>
    <t>22.11.21-28.11.21Heating BrushNetworkNetworkGoogle Adwords</t>
  </si>
  <si>
    <t>29.11.21-05.12.21</t>
  </si>
  <si>
    <t>На данной неделе система обучалась, поэтому имеем колебания по эффективности. После окончания обучения планируем вносить оптимизацияонные меры: поправлять бюджет и настройки cpbl.</t>
  </si>
  <si>
    <t>На Яндексе были подключены коррекрировки ставок по более высоким доходам для продуктовых кампаний. 
На данной неделе система обучалась, поэтому имеем колебания в объёмах,
динамика по CR и CPBL положительная.
После окончания обучения планируем поправлять бюджет.</t>
  </si>
  <si>
    <t>29.11.21-05.12.21Heating BrushBrandSearchYandex Direct</t>
  </si>
  <si>
    <t>29.11.21-05.12.21Heating BrushProductSearchYandex Direct</t>
  </si>
  <si>
    <t>29.11.21-05.12.21Heating BrushNetworkNetworkYandex Direct</t>
  </si>
  <si>
    <t>29.11.21-05.12.21Heating BrushMCBSearchYandex Direct</t>
  </si>
  <si>
    <t>29.11.21-05.12.21Heating BrushBrandSearchGoogle Adwords</t>
  </si>
  <si>
    <t>29.11.21-05.12.21Heating BrushProductSearchGoogle Adwords</t>
  </si>
  <si>
    <t>29.11.21-05.12.21Heating BrushNetworkNetworkGoogle Adwords</t>
  </si>
  <si>
    <t>06.12.21-12.12.21</t>
  </si>
  <si>
    <t>Отключаем Яндекс-сети;
Smart-кампании переводим на оптимизацию "максимум конверсий".</t>
  </si>
  <si>
    <t>06.12.21-12.12.21Heating BrushBrandSearchYandex Direct</t>
  </si>
  <si>
    <t>06.12.21-12.12.21Heating BrushProductSearchYandex Direct</t>
  </si>
  <si>
    <t>06.12.21-12.12.21Heating BrushNetworkNetworkYandex Direct</t>
  </si>
  <si>
    <t>06.12.21-12.12.21Heating BrushMCBSearchYandex Direct</t>
  </si>
  <si>
    <t>06.12.21-12.12.21Heating BrushBrandSearchGoogle Adwords</t>
  </si>
  <si>
    <t>06.12.21-12.12.21Heating BrushProductSearchGoogle Adwords</t>
  </si>
  <si>
    <t>06.12.21-12.12.21Heating BrushNetworkNetworkGoogle Adwords</t>
  </si>
  <si>
    <t>Частично приостановлены сети в пользу поисковых кампаний</t>
  </si>
  <si>
    <t>Увеличены бюджеты поисковых кампаний, т.к. был отмечен прирост поискового интереса к категориям, появились возможности для роста;
Скорректированы ставки для показа на более высоких позициях.</t>
  </si>
  <si>
    <t>20.12.21-26.12.21</t>
  </si>
  <si>
    <t>20.12.21-26.12.21Heating BrushBrandSearchYandex Direct</t>
  </si>
  <si>
    <t>20.12.21-26.12.21Heating BrushProductSearchYandex Direct</t>
  </si>
  <si>
    <t>20.12.21-26.12.21Heating BrushNetworkNetworkYandex Direct</t>
  </si>
  <si>
    <t>20.12.21-26.12.21Heating BrushMCBSearchYandex Direct</t>
  </si>
  <si>
    <t>20.12.21-26.12.21Heating BrushBrandSearchGoogle Adwords</t>
  </si>
  <si>
    <t>20.12.21-26.12.21Heating BrushProductSearchGoogle Adwords</t>
  </si>
  <si>
    <t>20.12.21-26.12.21Heating BrushNetworkNetworkGoogle Adwords</t>
  </si>
  <si>
    <t>27.12.21-31.12.21</t>
  </si>
  <si>
    <t>27.12.21-31.12.21Heating BrushBrandSearchYandex Direct</t>
  </si>
  <si>
    <t>27.12.21-31.12.21Heating BrushProductSearchYandex Direct</t>
  </si>
  <si>
    <t>27.12.21-31.12.21Heating BrushNetworkNetworkYandex Direct</t>
  </si>
  <si>
    <t>27.12.21-31.12.21Heating BrushMCBSearchYandex Direct</t>
  </si>
  <si>
    <t>27.12.21-31.12.21Heating BrushBrandSearchGoogle Adwords</t>
  </si>
  <si>
    <t>27.12.21-31.12.21Heating BrushProductSearchGoogle Adwords</t>
  </si>
  <si>
    <t>27.12.21-31.12.21Heating BrushNetworkNetworkGoogle Adwords</t>
  </si>
  <si>
    <t>Total Q4</t>
  </si>
  <si>
    <t>МКБ</t>
  </si>
  <si>
    <t>Серч</t>
  </si>
  <si>
    <t>Яндекс бренд</t>
  </si>
  <si>
    <t>Яндекс продукт</t>
  </si>
  <si>
    <t>Гугл бренд</t>
  </si>
  <si>
    <t>Гугл продукт</t>
  </si>
  <si>
    <t>Яндекс</t>
  </si>
  <si>
    <t>Гугл</t>
  </si>
  <si>
    <t>04.10.21-10.10.21StraightenerBrandSearchYandex Direct</t>
  </si>
  <si>
    <t>StraightenerBrandSearchYandex Direct</t>
  </si>
  <si>
    <t>04.10.21-10.10.21StraightenerProductSearchYandex Direct</t>
  </si>
  <si>
    <t>StraightenerProductSearchYandex Direct</t>
  </si>
  <si>
    <t>04.10.21-10.10.21StraightenerNetworkNetworkYandex Direct</t>
  </si>
  <si>
    <t>StraightenerNetworkNetworkYandex Direct</t>
  </si>
  <si>
    <t>04.10.21-10.10.21StraightenerMCBSearchYandex Direct</t>
  </si>
  <si>
    <t>StraightenerMCBSearchYandex Direct</t>
  </si>
  <si>
    <t>04.10.21-10.10.21StraightenerBrandSearchGoogle Adwords</t>
  </si>
  <si>
    <t>StraightenerBrandSearchGoogle Adwords</t>
  </si>
  <si>
    <t>04.10.21-10.10.21StraightenerProductSearchGoogle Adwords</t>
  </si>
  <si>
    <t>StraightenerProductSearchGoogle Adwords</t>
  </si>
  <si>
    <t>04.10.21-10.10.21StraightenerNetworkNetworkGoogle Adwords</t>
  </si>
  <si>
    <t>StraightenerNetworkNetworkGoogle Adwords</t>
  </si>
  <si>
    <t>Идём в плане</t>
  </si>
  <si>
    <t>11.10.21-17.10.21StraightenerBrandSearchYandex Direct</t>
  </si>
  <si>
    <t>11.10.21-17.10.21StraightenerProductSearchYandex Direct</t>
  </si>
  <si>
    <t>11.10.21-17.10.21StraightenerNetworkNetworkYandex Direct</t>
  </si>
  <si>
    <t>11.10.21-17.10.21StraightenerMCBSearchYandex Direct</t>
  </si>
  <si>
    <t>11.10.21-17.10.21StraightenerBrandSearchGoogle Adwords</t>
  </si>
  <si>
    <t>11.10.21-17.10.21StraightenerProductSearchGoogle Adwords</t>
  </si>
  <si>
    <t>11.10.21-17.10.21StraightenerNetworkNetworkGoogle Adwords</t>
  </si>
  <si>
    <t>Yandex: Отключить джереник и продукт-запросы, т.к. они имеют наихудшую эффективность с т.з. конверсий;
Google: Отключить Custom Intent, т.к. данная аудитория имеет самый дорогой CPBL</t>
  </si>
  <si>
    <t>Yandex: Идём в плане в поиске, МКБ показывает себя не очень эффективно - отключить дженерик и продуктовые запросы, усилить бренд.
Google: Наблюдаем положительную динамику по CR, однако растёт CPC и за ним CPBL в частности в продуктовых запросах - чуть снизили желаемую ставку в настройках.</t>
  </si>
  <si>
    <t>18.10.21-24.10.21StraightenerBrandSearchYandex Direct</t>
  </si>
  <si>
    <t>18.10.21-24.10.21StraightenerProductSearchYandex Direct</t>
  </si>
  <si>
    <t>18.10.21-24.10.21StraightenerNetworkNetworkYandex Direct</t>
  </si>
  <si>
    <t>18.10.21-24.10.21StraightenerMCBSearchYandex Direct</t>
  </si>
  <si>
    <t>18.10.21-24.10.21StraightenerBrandSearchGoogle Adwords</t>
  </si>
  <si>
    <t>18.10.21-24.10.21StraightenerProductSearchGoogle Adwords</t>
  </si>
  <si>
    <t>18.10.21-24.10.21StraightenerNetworkNetworkGoogle Adwords</t>
  </si>
  <si>
    <t>25.10.21-31.10.21StraightenerBrandSearchYandex Direct</t>
  </si>
  <si>
    <t>25.10.21-31.10.21StraightenerProductSearchYandex Direct</t>
  </si>
  <si>
    <t>25.10.21-31.10.21StraightenerNetworkNetworkYandex Direct</t>
  </si>
  <si>
    <t>25.10.21-31.10.21StraightenerMCBSearchYandex Direct</t>
  </si>
  <si>
    <t>25.10.21-31.10.21StraightenerBrandSearchGoogle Adwords</t>
  </si>
  <si>
    <t>25.10.21-31.10.21StraightenerProductSearchGoogle Adwords</t>
  </si>
  <si>
    <t>25.10.21-31.10.21StraightenerNetworkNetworkGoogle Adwords</t>
  </si>
  <si>
    <t>Кампании имеют положительную динамику.
Google: Включили интересы (они были на паузе, хотя исторически имели наилучшую конверсионность)
Yandex: Усилили бренд, отключили дженерик и продукт.</t>
  </si>
  <si>
    <t>Наблюдаем положительную динамику по SOI
Отключили часть продуктовых запросов (много синформационными запросами "как", "почему")
Yandex: Отключили МКБ по дженерик и продуктовым запросам.</t>
  </si>
  <si>
    <t>01.11.21-07.11.21StraightenerBrandSearchYandex Direct</t>
  </si>
  <si>
    <t>01.11.21-07.11.21StraightenerProductSearchYandex Direct</t>
  </si>
  <si>
    <t>01.11.21-07.11.21StraightenerNetworkNetworkYandex Direct</t>
  </si>
  <si>
    <t>01.11.21-07.11.21StraightenerMCBSearchYandex Direct</t>
  </si>
  <si>
    <t>01.11.21-07.11.21StraightenerBrandSearchGoogle Adwords</t>
  </si>
  <si>
    <t>01.11.21-07.11.21StraightenerProductSearchGoogle Adwords</t>
  </si>
  <si>
    <t>01.11.21-07.11.21StraightenerNetworkNetworkGoogle Adwords</t>
  </si>
  <si>
    <t>08.11.21-14.11.21StraightenerBrandSearchYandex Direct</t>
  </si>
  <si>
    <t>08.11.21-14.11.21StraightenerProductSearchYandex Direct</t>
  </si>
  <si>
    <t>08.11.21-14.11.21StraightenerNetworkNetworkYandex Direct</t>
  </si>
  <si>
    <t>08.11.21-14.11.21StraightenerMCBSearchYandex Direct</t>
  </si>
  <si>
    <t>08.11.21-14.11.21StraightenerBrandSearchGoogle Adwords</t>
  </si>
  <si>
    <t>08.11.21-14.11.21StraightenerProductSearchGoogle Adwords</t>
  </si>
  <si>
    <t>08.11.21-14.11.21StraightenerNetworkNetworkGoogle Adwords</t>
  </si>
  <si>
    <t>15.11.21-21.11.21StraightenerBrandSearchYandex Direct</t>
  </si>
  <si>
    <t>15.11.21-21.11.21StraightenerProductSearchYandex Direct</t>
  </si>
  <si>
    <t>15.11.21-21.11.21StraightenerNetworkNetworkYandex Direct</t>
  </si>
  <si>
    <t>15.11.21-21.11.21StraightenerMCBSearchYandex Direct</t>
  </si>
  <si>
    <t>15.11.21-21.11.21StraightenerBrandSearchGoogle Adwords</t>
  </si>
  <si>
    <t>15.11.21-21.11.21StraightenerProductSearchGoogle Adwords</t>
  </si>
  <si>
    <t>15.11.21-21.11.21StraightenerNetworkNetworkGoogle Adwords</t>
  </si>
  <si>
    <t>22.11.21-28.11.21StraightenerBrandSearchYandex Direct</t>
  </si>
  <si>
    <t>22.11.21-28.11.21StraightenerProductSearchYandex Direct</t>
  </si>
  <si>
    <t>22.11.21-28.11.21StraightenerNetworkNetworkYandex Direct</t>
  </si>
  <si>
    <t>22.11.21-28.11.21StraightenerMCBSearchYandex Direct</t>
  </si>
  <si>
    <t>22.11.21-28.11.21StraightenerBrandSearchGoogle Adwords</t>
  </si>
  <si>
    <t>22.11.21-28.11.21StraightenerProductSearchGoogle Adwords</t>
  </si>
  <si>
    <t>22.11.21-28.11.21StraightenerNetworkNetworkGoogle Adwords</t>
  </si>
  <si>
    <t>На данной неделе система обучалась, поэтому имеем колебания в объёмах,
динамика по CR и CPBL положительная.
После окончания обучения планируем поправлять бюджет.</t>
  </si>
  <si>
    <t>На Яндексе были подключены коррекрировки ставок по более высоким доходам для продуктовых кампаний. 
На данной неделе система обучалась, поэтому имеем небольшие колебания в объёмах,
динамика по CPBL положительная.
После окончания обучения планируем поправлять бюджет.</t>
  </si>
  <si>
    <t>29.11.21-05.12.21StraightenerBrandSearchYandex Direct</t>
  </si>
  <si>
    <t>29.11.21-05.12.21StraightenerProductSearchYandex Direct</t>
  </si>
  <si>
    <t>29.11.21-05.12.21StraightenerNetworkNetworkYandex Direct</t>
  </si>
  <si>
    <t>29.11.21-05.12.21StraightenerMCBSearchYandex Direct</t>
  </si>
  <si>
    <t>29.11.21-05.12.21StraightenerBrandSearchGoogle Adwords</t>
  </si>
  <si>
    <t>29.11.21-05.12.21StraightenerProductSearchGoogle Adwords</t>
  </si>
  <si>
    <t>29.11.21-05.12.21StraightenerNetworkNetworkGoogle Adwords</t>
  </si>
  <si>
    <t>06.12.21-12.12.21StraightenerBrandSearchYandex Direct</t>
  </si>
  <si>
    <t>06.12.21-12.12.21StraightenerProductSearchYandex Direct</t>
  </si>
  <si>
    <t>06.12.21-12.12.21StraightenerNetworkNetworkYandex Direct</t>
  </si>
  <si>
    <t>06.12.21-12.12.21StraightenerMCBSearchYandex Direct</t>
  </si>
  <si>
    <t>06.12.21-12.12.21StraightenerBrandSearchGoogle Adwords</t>
  </si>
  <si>
    <t>06.12.21-12.12.21StraightenerProductSearchGoogle Adwords</t>
  </si>
  <si>
    <t>06.12.21-12.12.21StraightenerNetworkNetworkGoogle Adwords</t>
  </si>
  <si>
    <t>20.12.21-26.12.21StraightenerBrandSearchYandex Direct</t>
  </si>
  <si>
    <t>20.12.21-26.12.21StraightenerProductSearchYandex Direct</t>
  </si>
  <si>
    <t>20.12.21-26.12.21StraightenerNetworkNetworkYandex Direct</t>
  </si>
  <si>
    <t>20.12.21-26.12.21StraightenerMCBSearchYandex Direct</t>
  </si>
  <si>
    <t>20.12.21-26.12.21StraightenerBrandSearchGoogle Adwords</t>
  </si>
  <si>
    <t>20.12.21-26.12.21StraightenerProductSearchGoogle Adwords</t>
  </si>
  <si>
    <t>20.12.21-26.12.21StraightenerNetworkNetworkGoogle Adwords</t>
  </si>
  <si>
    <t>27.12.21-31.12.21StraightenerBrandSearchYandex Direct</t>
  </si>
  <si>
    <t>27.12.21-31.12.21StraightenerProductSearchYandex Direct</t>
  </si>
  <si>
    <t>27.12.21-31.12.21StraightenerNetworkNetworkYandex Direct</t>
  </si>
  <si>
    <t>27.12.21-31.12.21StraightenerMCBSearchYandex Direct</t>
  </si>
  <si>
    <t>27.12.21-31.12.21StraightenerBrandSearchGoogle Adwords</t>
  </si>
  <si>
    <t>27.12.21-31.12.21StraightenerProductSearchGoogle Adwords</t>
  </si>
  <si>
    <t>27.12.21-31.12.21StraightenerNetworkNetworkGoogle Adwords</t>
  </si>
  <si>
    <t>04.10.21-10.10.21Hair DryerBrandSearchYandex Direct</t>
  </si>
  <si>
    <t>Hair DryerBrandSearchYandex Direct</t>
  </si>
  <si>
    <t>04.10.21-10.10.21Hair DryerProductSearchYandex Direct</t>
  </si>
  <si>
    <t>Hair DryerProductSearchYandex Direct</t>
  </si>
  <si>
    <t>04.10.21-10.10.21Hair DryerNetworkNetworkYandex Direct</t>
  </si>
  <si>
    <t>Hair DryerNetworkNetworkYandex Direct</t>
  </si>
  <si>
    <t>04.10.21-10.10.21Hair DryerMCBSearchYandex Direct</t>
  </si>
  <si>
    <t>Hair DryerMCBSearchYandex Direct</t>
  </si>
  <si>
    <t>04.10.21-10.10.21Hair DryerBrandSearchGoogle Adwords</t>
  </si>
  <si>
    <t>Hair DryerBrandSearchGoogle Adwords</t>
  </si>
  <si>
    <t>04.10.21-10.10.21Hair DryerProductSearchGoogle Adwords</t>
  </si>
  <si>
    <t>Hair DryerProductSearchGoogle Adwords</t>
  </si>
  <si>
    <t>04.10.21-10.10.21Hair DryerNetworkNetworkGoogle Adwords</t>
  </si>
  <si>
    <t>Hair DryerNetworkNetworkGoogle Adwords</t>
  </si>
  <si>
    <t>Google: Усиляем Custom Affinity и Interests как наиболее эффетивные с т.з. Buy Leads;
Yandex: Снижаем бюджет на Дженерк-запросах</t>
  </si>
  <si>
    <t>Оптимизируем Бренд-семантику:
Аккуратно отключаем минимальное количество неэффективных запросов
Ищем возможные недобавленные минус-слова и расширяем списки</t>
  </si>
  <si>
    <t>11.10.21-17.10.21Hair DryerBrandSearchYandex Direct</t>
  </si>
  <si>
    <t>11.10.21-17.10.21Hair DryerProductSearchYandex Direct</t>
  </si>
  <si>
    <t>11.10.21-17.10.21Hair DryerNetworkNetworkYandex Direct</t>
  </si>
  <si>
    <t>11.10.21-17.10.21Hair DryerMCBSearchYandex Direct</t>
  </si>
  <si>
    <t>11.10.21-17.10.21Hair DryerBrandSearchGoogle Adwords</t>
  </si>
  <si>
    <t>11.10.21-17.10.21Hair DryerProductSearchGoogle Adwords</t>
  </si>
  <si>
    <t>11.10.21-17.10.21Hair DryerNetworkNetworkGoogle Adwords</t>
  </si>
  <si>
    <t>Yandex: Отключить джереник, т.к. они имеют наихудшую эффективность с т.з. конверсий;
Google: Отключить Custom Intent, т.к. данная аудитория имеет самый дорогой CPBL</t>
  </si>
  <si>
    <t>Yandex: Идём в плане в поиске.
Google: Наблюдаем небольшое падение по CR и увеличение CPBL в частности в брендовых запросах - видим усиление ритейлеров в аукционе.</t>
  </si>
  <si>
    <t>18.10.21-24.10.21Hair DryerBrandSearchYandex Direct</t>
  </si>
  <si>
    <t>18.10.21-24.10.21Hair DryerProductSearchYandex Direct</t>
  </si>
  <si>
    <t>18.10.21-24.10.21Hair DryerNetworkNetworkYandex Direct</t>
  </si>
  <si>
    <t>18.10.21-24.10.21Hair DryerMCBSearchYandex Direct</t>
  </si>
  <si>
    <t>18.10.21-24.10.21Hair DryerBrandSearchGoogle Adwords</t>
  </si>
  <si>
    <t>18.10.21-24.10.21Hair DryerProductSearchGoogle Adwords</t>
  </si>
  <si>
    <t>18.10.21-24.10.21Hair DryerNetworkNetworkGoogle Adwords</t>
  </si>
  <si>
    <t>25.10.21-31.10.21Hair DryerBrandSearchYandex Direct</t>
  </si>
  <si>
    <t>25.10.21-31.10.21Hair DryerProductSearchYandex Direct</t>
  </si>
  <si>
    <t>25.10.21-31.10.21Hair DryerNetworkNetworkYandex Direct</t>
  </si>
  <si>
    <t>25.10.21-31.10.21Hair DryerMCBSearchYandex Direct</t>
  </si>
  <si>
    <t>25.10.21-31.10.21Hair DryerBrandSearchGoogle Adwords</t>
  </si>
  <si>
    <t>25.10.21-31.10.21Hair DryerProductSearchGoogle Adwords</t>
  </si>
  <si>
    <t>25.10.21-31.10.21Hair DryerNetworkNetworkGoogle Adwords</t>
  </si>
  <si>
    <t>Кампании имеют положительную динамику по CPL
Google: Отключили Custom Intent
Yandex: Отключили дженерик и продукт.</t>
  </si>
  <si>
    <t>Наблюдаем положительную динамику по конверсионности и SOI
Прогнозируем увеличение эффективности на следующей неделе</t>
  </si>
  <si>
    <t>01.11.21-07.11.21Hair DryerBrandSearchYandex Direct</t>
  </si>
  <si>
    <t>01.11.21-07.11.21Hair DryerProductSearchYandex Direct</t>
  </si>
  <si>
    <t>01.11.21-07.11.21Hair DryerNetworkNetworkYandex Direct</t>
  </si>
  <si>
    <t>01.11.21-07.11.21Hair DryerMCBSearchYandex Direct</t>
  </si>
  <si>
    <t>01.11.21-07.11.21Hair DryerBrandSearchGoogle Adwords</t>
  </si>
  <si>
    <t>01.11.21-07.11.21Hair DryerProductSearchGoogle Adwords</t>
  </si>
  <si>
    <t>01.11.21-07.11.21Hair DryerNetworkNetworkGoogle Adwords</t>
  </si>
  <si>
    <t>08.11.21-14.11.21Hair DryerBrandSearchYandex Direct</t>
  </si>
  <si>
    <t>08.11.21-14.11.21Hair DryerProductSearchYandex Direct</t>
  </si>
  <si>
    <t>08.11.21-14.11.21Hair DryerNetworkNetworkYandex Direct</t>
  </si>
  <si>
    <t>08.11.21-14.11.21Hair DryerMCBSearchYandex Direct</t>
  </si>
  <si>
    <t>08.11.21-14.11.21Hair DryerBrandSearchGoogle Adwords</t>
  </si>
  <si>
    <t>08.11.21-14.11.21Hair DryerProductSearchGoogle Adwords</t>
  </si>
  <si>
    <t>08.11.21-14.11.21Hair DryerNetworkNetworkGoogle Adwords</t>
  </si>
  <si>
    <t>15.11.21-21.11.21Hair DryerBrandSearchYandex Direct</t>
  </si>
  <si>
    <t>15.11.21-21.11.21Hair DryerProductSearchYandex Direct</t>
  </si>
  <si>
    <t>15.11.21-21.11.21Hair DryerNetworkNetworkYandex Direct</t>
  </si>
  <si>
    <t>15.11.21-21.11.21Hair DryerMCBSearchYandex Direct</t>
  </si>
  <si>
    <t>15.11.21-21.11.21Hair DryerBrandSearchGoogle Adwords</t>
  </si>
  <si>
    <t>15.11.21-21.11.21Hair DryerProductSearchGoogle Adwords</t>
  </si>
  <si>
    <t>15.11.21-21.11.21Hair DryerNetworkNetworkGoogle Adwords</t>
  </si>
  <si>
    <t>В конце недели в Google изменили модель оптимизации с "максимум конверсий" на "целевая цена за конверсию" - наблюдаем положительную динамику по конверсионности.
В продуктовых запросах просели по SOI - связываем с повышенной активностью конкурентов в период чёрной пятницы</t>
  </si>
  <si>
    <t>22.11.21-28.11.21Hair DryerBrandSearchYandex Direct</t>
  </si>
  <si>
    <t>22.11.21-28.11.21Hair DryerProductSearchYandex Direct</t>
  </si>
  <si>
    <t>22.11.21-28.11.21Hair DryerNetworkNetworkYandex Direct</t>
  </si>
  <si>
    <t>22.11.21-28.11.21Hair DryerMCBSearchYandex Direct</t>
  </si>
  <si>
    <t>22.11.21-28.11.21Hair DryerBrandSearchGoogle Adwords</t>
  </si>
  <si>
    <t>22.11.21-28.11.21Hair DryerProductSearchGoogle Adwords</t>
  </si>
  <si>
    <t>22.11.21-28.11.21Hair DryerNetworkNetworkGoogle Adwords</t>
  </si>
  <si>
    <t>На Яндексе были подключены коррекрировки ставок по более высоким доходам для продуктовых кампаний. 
На данной неделе система обучалась, поэтому имеем небольшие колебания в объёмах,
динамика по CR и CPBL положительная.
После окончания обучения планируем поправлять бюджет.</t>
  </si>
  <si>
    <t>29.11.21-05.12.21Hair DryerBrandSearchYandex Direct</t>
  </si>
  <si>
    <t>29.11.21-05.12.21Hair DryerProductSearchYandex Direct</t>
  </si>
  <si>
    <t>29.11.21-05.12.21Hair DryerNetworkNetworkYandex Direct</t>
  </si>
  <si>
    <t>29.11.21-05.12.21Hair DryerMCBSearchYandex Direct</t>
  </si>
  <si>
    <t>29.11.21-05.12.21Hair DryerBrandSearchGoogle Adwords</t>
  </si>
  <si>
    <t>29.11.21-05.12.21Hair DryerProductSearchGoogle Adwords</t>
  </si>
  <si>
    <t>29.11.21-05.12.21Hair DryerNetworkNetworkGoogle Adwords</t>
  </si>
  <si>
    <t>Отключаем Яндекс-сети;
Smart-кампании переводим на оптимизацию "максимум конверсий";
Поднимаем CPA в настройках Discavery на 20-30%</t>
  </si>
  <si>
    <t>06.12.21-12.12.21Hair DryerBrandSearchYandex Direct</t>
  </si>
  <si>
    <t>06.12.21-12.12.21Hair DryerProductSearchYandex Direct</t>
  </si>
  <si>
    <t>06.12.21-12.12.21Hair DryerNetworkNetworkYandex Direct</t>
  </si>
  <si>
    <t>06.12.21-12.12.21Hair DryerMCBSearchYandex Direct</t>
  </si>
  <si>
    <t>06.12.21-12.12.21Hair DryerBrandSearchGoogle Adwords</t>
  </si>
  <si>
    <t>06.12.21-12.12.21Hair DryerProductSearchGoogle Adwords</t>
  </si>
  <si>
    <t>06.12.21-12.12.21Hair DryerNetworkNetworkGoogle Adwords</t>
  </si>
  <si>
    <t>20.12.21-26.12.21Hair DryerBrandSearchYandex Direct</t>
  </si>
  <si>
    <t>20.12.21-26.12.21Hair DryerProductSearchYandex Direct</t>
  </si>
  <si>
    <t>20.12.21-26.12.21Hair DryerNetworkNetworkYandex Direct</t>
  </si>
  <si>
    <t>20.12.21-26.12.21Hair DryerMCBSearchYandex Direct</t>
  </si>
  <si>
    <t>20.12.21-26.12.21Hair DryerBrandSearchGoogle Adwords</t>
  </si>
  <si>
    <t>20.12.21-26.12.21Hair DryerProductSearchGoogle Adwords</t>
  </si>
  <si>
    <t>20.12.21-26.12.21Hair DryerNetworkNetworkGoogle Adwords</t>
  </si>
  <si>
    <t>27.12.21-31.12.21Hair DryerBrandSearchYandex Direct</t>
  </si>
  <si>
    <t>27.12.21-31.12.21Hair DryerProductSearchYandex Direct</t>
  </si>
  <si>
    <t>27.12.21-31.12.21Hair DryerNetworkNetworkYandex Direct</t>
  </si>
  <si>
    <t>27.12.21-31.12.21Hair DryerMCBSearchYandex Direct</t>
  </si>
  <si>
    <t>27.12.21-31.12.21Hair DryerBrandSearchGoogle Adwords</t>
  </si>
  <si>
    <t>27.12.21-31.12.21Hair DryerProductSearchGoogle Adwords</t>
  </si>
  <si>
    <t>27.12.21-31.12.21Hair DryerNetworkNetworkGoogle Adwords</t>
  </si>
  <si>
    <t>04.10.21-10.10.21FemdepBrandSearchYandex Direct</t>
  </si>
  <si>
    <t>FemdepBrandSearchYandex Direct</t>
  </si>
  <si>
    <t>04.10.21-10.10.21FemdepProductSearchYandex Direct</t>
  </si>
  <si>
    <t>FemdepProductSearchYandex Direct</t>
  </si>
  <si>
    <t>04.10.21-10.10.21FemdepNetworkNetworkYandex Direct</t>
  </si>
  <si>
    <t>FemdepNetworkNetworkYandex Direct</t>
  </si>
  <si>
    <t>04.10.21-10.10.21FemdepMCBSearchYandex Direct</t>
  </si>
  <si>
    <t>FemdepMCBSearchYandex Direct</t>
  </si>
  <si>
    <t>04.10.21-10.10.21FemdepBrandSearchGoogle Adwords</t>
  </si>
  <si>
    <t>FemdepBrandSearchGoogle Adwords</t>
  </si>
  <si>
    <t>04.10.21-10.10.21FemdepProductSearchGoogle Adwords</t>
  </si>
  <si>
    <t>FemdepProductSearchGoogle Adwords</t>
  </si>
  <si>
    <t>04.10.21-10.10.21FemdepNetworkNetworkGoogle Adwords</t>
  </si>
  <si>
    <t>FemdepNetworkNetworkGoogle Adwords</t>
  </si>
  <si>
    <t>Yandex: Часть продуктовых запросов отключаем</t>
  </si>
  <si>
    <t>Идём в плане (отставание по CR и SOI в рамках 2% некритично)</t>
  </si>
  <si>
    <t>11.10.21-17.10.21FemdepBrandSearchYandex Direct</t>
  </si>
  <si>
    <t>11.10.21-17.10.21FemdepProductSearchYandex Direct</t>
  </si>
  <si>
    <t>11.10.21-17.10.21FemdepNetworkNetworkYandex Direct</t>
  </si>
  <si>
    <t>11.10.21-17.10.21FemdepMCBSearchYandex Direct</t>
  </si>
  <si>
    <t>11.10.21-17.10.21FemdepBrandSearchGoogle Adwords</t>
  </si>
  <si>
    <t>11.10.21-17.10.21FemdepProductSearchGoogle Adwords</t>
  </si>
  <si>
    <t>11.10.21-17.10.21FemdepNetworkNetworkGoogle Adwords</t>
  </si>
  <si>
    <t>Yandex: Отключить продукт-запросы, т.к. они имеют наихудшую эффективность с т.з. конверсий;
Google: Проседаем из-за смарт-кампаний, т.к. им требуется больше времени и данных для обучения</t>
  </si>
  <si>
    <t>Yandex: Идём в плане в поиске.
Google: Наблюдаем небольшое падение по CR и увеличение CPBL в частности в продуктовых запросах - наиболее неэффективные отключим.</t>
  </si>
  <si>
    <t>18.10.21-24.10.21FemdepBrandSearchYandex Direct</t>
  </si>
  <si>
    <t>18.10.21-24.10.21FemdepProductSearchYandex Direct</t>
  </si>
  <si>
    <t>18.10.21-24.10.21FemdepNetworkNetworkYandex Direct</t>
  </si>
  <si>
    <t>18.10.21-24.10.21FemdepMCBSearchYandex Direct</t>
  </si>
  <si>
    <t>18.10.21-24.10.21FemdepBrandSearchGoogle Adwords</t>
  </si>
  <si>
    <t>18.10.21-24.10.21FemdepProductSearchGoogle Adwords</t>
  </si>
  <si>
    <t>18.10.21-24.10.21FemdepNetworkNetworkGoogle Adwords</t>
  </si>
  <si>
    <t>25.10.21-31.10.21FemdepBrandSearchYandex Direct</t>
  </si>
  <si>
    <t>25.10.21-31.10.21FemdepProductSearchYandex Direct</t>
  </si>
  <si>
    <t>25.10.21-31.10.21FemdepNetworkNetworkYandex Direct</t>
  </si>
  <si>
    <t>25.10.21-31.10.21FemdepMCBSearchYandex Direct</t>
  </si>
  <si>
    <t>25.10.21-31.10.21FemdepBrandSearchGoogle Adwords</t>
  </si>
  <si>
    <t>25.10.21-31.10.21FemdepProductSearchGoogle Adwords</t>
  </si>
  <si>
    <t>25.10.21-31.10.21FemdepNetworkNetworkGoogle Adwords</t>
  </si>
  <si>
    <t>Наблюдаем положительную динамику по конверсионности</t>
  </si>
  <si>
    <t>Отключили часть продуктовых запросов (много синформационными запросами "как", "почему")</t>
  </si>
  <si>
    <t>01.11.21-07.11.21FemdepBrandSearchYandex Direct</t>
  </si>
  <si>
    <t>01.11.21-07.11.21FemdepProductSearchYandex Direct</t>
  </si>
  <si>
    <t>01.11.21-07.11.21FemdepNetworkNetworkYandex Direct</t>
  </si>
  <si>
    <t>01.11.21-07.11.21FemdepMCBSearchYandex Direct</t>
  </si>
  <si>
    <t>01.11.21-07.11.21FemdepBrandSearchGoogle Adwords</t>
  </si>
  <si>
    <t>01.11.21-07.11.21FemdepProductSearchGoogle Adwords</t>
  </si>
  <si>
    <t>01.11.21-07.11.21FemdepNetworkNetworkGoogle Adwords</t>
  </si>
  <si>
    <t>08.11.21-14.11.21FemdepBrandSearchYandex Direct</t>
  </si>
  <si>
    <t>08.11.21-14.11.21FemdepProductSearchYandex Direct</t>
  </si>
  <si>
    <t>08.11.21-14.11.21FemdepNetworkNetworkYandex Direct</t>
  </si>
  <si>
    <t>08.11.21-14.11.21FemdepMCBSearchYandex Direct</t>
  </si>
  <si>
    <t>08.11.21-14.11.21FemdepBrandSearchGoogle Adwords</t>
  </si>
  <si>
    <t>08.11.21-14.11.21FemdepProductSearchGoogle Adwords</t>
  </si>
  <si>
    <t>08.11.21-14.11.21FemdepNetworkNetworkGoogle Adwords</t>
  </si>
  <si>
    <t>15.11.21-21.11.21FemdepBrandSearchYandex Direct</t>
  </si>
  <si>
    <t>15.11.21-21.11.21FemdepProductSearchYandex Direct</t>
  </si>
  <si>
    <t>15.11.21-21.11.21FemdepNetworkNetworkYandex Direct</t>
  </si>
  <si>
    <t>15.11.21-21.11.21FemdepMCBSearchYandex Direct</t>
  </si>
  <si>
    <t>15.11.21-21.11.21FemdepBrandSearchGoogle Adwords</t>
  </si>
  <si>
    <t>15.11.21-21.11.21FemdepProductSearchGoogle Adwords</t>
  </si>
  <si>
    <t>15.11.21-21.11.21FemdepNetworkNetworkGoogle Adwords</t>
  </si>
  <si>
    <t>22.11.21-28.11.21FemdepBrandSearchYandex Direct</t>
  </si>
  <si>
    <t>22.11.21-28.11.21FemdepProductSearchYandex Direct</t>
  </si>
  <si>
    <t>22.11.21-28.11.21FemdepNetworkNetworkYandex Direct</t>
  </si>
  <si>
    <t>22.11.21-28.11.21FemdepMCBSearchYandex Direct</t>
  </si>
  <si>
    <t>22.11.21-28.11.21FemdepBrandSearchGoogle Adwords</t>
  </si>
  <si>
    <t>22.11.21-28.11.21FemdepProductSearchGoogle Adwords</t>
  </si>
  <si>
    <t>22.11.21-28.11.21FemdepNetworkNetworkGoogle Adwords</t>
  </si>
  <si>
    <t>29.11.21-05.12.21FemdepBrandSearchYandex Direct</t>
  </si>
  <si>
    <t>29.11.21-05.12.21FemdepProductSearchYandex Direct</t>
  </si>
  <si>
    <t>29.11.21-05.12.21FemdepNetworkNetworkYandex Direct</t>
  </si>
  <si>
    <t>29.11.21-05.12.21FemdepMCBSearchYandex Direct</t>
  </si>
  <si>
    <t>29.11.21-05.12.21FemdepBrandSearchGoogle Adwords</t>
  </si>
  <si>
    <t>29.11.21-05.12.21FemdepProductSearchGoogle Adwords</t>
  </si>
  <si>
    <t>29.11.21-05.12.21FemdepNetworkNetworkGoogle Adwords</t>
  </si>
  <si>
    <t>06.12.21-12.12.21FemdepBrandSearchYandex Direct</t>
  </si>
  <si>
    <t>06.12.21-12.12.21FemdepProductSearchYandex Direct</t>
  </si>
  <si>
    <t>06.12.21-12.12.21FemdepNetworkNetworkYandex Direct</t>
  </si>
  <si>
    <t>06.12.21-12.12.21FemdepMCBSearchYandex Direct</t>
  </si>
  <si>
    <t>06.12.21-12.12.21FemdepBrandSearchGoogle Adwords</t>
  </si>
  <si>
    <t>06.12.21-12.12.21FemdepProductSearchGoogle Adwords</t>
  </si>
  <si>
    <t>06.12.21-12.12.21FemdepNetworkNetworkGoogle Adwords</t>
  </si>
  <si>
    <t>20.12.21-26.12.21FemdepBrandSearchYandex Direct</t>
  </si>
  <si>
    <t>20.12.21-26.12.21FemdepProductSearchYandex Direct</t>
  </si>
  <si>
    <t>20.12.21-26.12.21FemdepNetworkNetworkYandex Direct</t>
  </si>
  <si>
    <t>20.12.21-26.12.21FemdepMCBSearchYandex Direct</t>
  </si>
  <si>
    <t>20.12.21-26.12.21FemdepBrandSearchGoogle Adwords</t>
  </si>
  <si>
    <t>20.12.21-26.12.21FemdepProductSearchGoogle Adwords</t>
  </si>
  <si>
    <t>20.12.21-26.12.21FemdepNetworkNetworkGoogle Adwords</t>
  </si>
  <si>
    <t>27.12.21-31.12.21FemdepBrandSearchYandex Direct</t>
  </si>
  <si>
    <t>27.12.21-31.12.21FemdepProductSearchYandex Direct</t>
  </si>
  <si>
    <t>27.12.21-31.12.21FemdepNetworkNetworkYandex Direct</t>
  </si>
  <si>
    <t>27.12.21-31.12.21FemdepMCBSearchYandex Direct</t>
  </si>
  <si>
    <t>27.12.21-31.12.21FemdepBrandSearchGoogle Adwords</t>
  </si>
  <si>
    <t>27.12.21-31.12.21FemdepProductSearchGoogle Adwords</t>
  </si>
  <si>
    <t>27.12.21-31.12.21FemdepNetworkNetworkGoogle Adwords</t>
  </si>
  <si>
    <t>Spend (RUB)</t>
  </si>
  <si>
    <t>SOS</t>
  </si>
  <si>
    <t>Share of Networks</t>
  </si>
  <si>
    <t>Q2 2021 Fact</t>
  </si>
  <si>
    <t>Q3 2021 Fact</t>
  </si>
  <si>
    <t>Q4 2021 Plan</t>
  </si>
  <si>
    <t>Fem Dep</t>
  </si>
  <si>
    <t>Q4 2021 Plan All</t>
  </si>
  <si>
    <t>Q4 2021 Plan (Match)</t>
  </si>
  <si>
    <t>13.12.21-19.12.21</t>
  </si>
  <si>
    <t>план без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</si>
</sst>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\ [$RUR]"/>
    <numFmt numFmtId="165" formatCode="#,##0_р_."/>
    <numFmt numFmtId="166" formatCode="0.0%"/>
    <numFmt numFmtId="167" formatCode="_-* #,##0_-;\-* #,##0_-;_-* &quot;-&quot;??_-;_-@_-"/>
    <numFmt numFmtId="168" formatCode="#,##0.00\ &quot;₽&quot;"/>
    <numFmt numFmtId="169" formatCode="_-* #,##0\ &quot;₽&quot;_-;\-* #,##0\ &quot;₽&quot;_-;_-* &quot;-&quot;??\ &quot;₽&quot;_-;_-@_-"/>
    <numFmt numFmtId="170" formatCode="_-* #,##0.00\ [$RUR]_-;\-* #,##0.00\ [$RUR]_-;_-* &quot;-&quot;??\ [$RUR]_-;_-@_-"/>
    <numFmt numFmtId="171" formatCode="_-* #,##0.00&quot;р.&quot;_-;\-* #,##0.00&quot;р.&quot;_-;_-* &quot;-&quot;??&quot;р.&quot;_-;_-@_-"/>
    <numFmt numFmtId="172" formatCode="#,##0.00&quot;р.&quot;"/>
    <numFmt numFmtId="173" formatCode="#,##0&quot;р.&quot;"/>
    <numFmt numFmtId="174" formatCode="#,##0\ [$RUR]"/>
    <numFmt numFmtId="175" formatCode="#,##0.0\ [$RUR]"/>
    <numFmt numFmtId="176" formatCode="#,##0\ &quot;₽&quot;"/>
    <numFmt numFmtId="177" formatCode="0.0"/>
    <numFmt numFmtId="178" formatCode="#,##0.0\ &quot;₽&quot;"/>
    <numFmt numFmtId="180" formatCode="#,##0.0&quot;р.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 Cyr"/>
    </font>
    <font>
      <sz val="10"/>
      <name val="Arial Cyr"/>
      <charset val="204"/>
    </font>
    <font>
      <sz val="9"/>
      <color theme="1"/>
      <name val="Tahoma"/>
      <family val="2"/>
      <charset val="204"/>
    </font>
    <font>
      <b/>
      <sz val="9"/>
      <color theme="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9"/>
      <color theme="0"/>
      <name val="Tahoma"/>
      <family val="2"/>
      <charset val="204"/>
    </font>
    <font>
      <b/>
      <sz val="9"/>
      <color indexed="9"/>
      <name val="Tahoma"/>
      <family val="2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0"/>
      <color theme="1"/>
      <name val="Tahoma"/>
      <family val="2"/>
      <charset val="204"/>
    </font>
    <font>
      <b/>
      <u/>
      <sz val="11"/>
      <color theme="1"/>
      <name val="Tahoma"/>
      <family val="2"/>
      <charset val="204"/>
    </font>
    <font>
      <b/>
      <u/>
      <sz val="10"/>
      <color theme="1"/>
      <name val="Tahoma"/>
      <family val="2"/>
      <charset val="204"/>
    </font>
    <font>
      <b/>
      <sz val="10"/>
      <color rgb="FF595543"/>
      <name val="Arial"/>
      <family val="2"/>
      <charset val="204"/>
    </font>
    <font>
      <b/>
      <sz val="9"/>
      <color theme="0"/>
      <name val="Tahom"/>
      <charset val="204"/>
    </font>
    <font>
      <b/>
      <sz val="10"/>
      <color theme="1"/>
      <name val="Tahoma"/>
      <family val="2"/>
      <charset val="204"/>
    </font>
    <font>
      <b/>
      <sz val="12"/>
      <color rgb="FFFF0000"/>
      <name val="Tahoma"/>
      <family val="2"/>
      <charset val="204"/>
    </font>
    <font>
      <sz val="8"/>
      <name val="Calibri"/>
      <family val="2"/>
      <scheme val="minor"/>
    </font>
    <font>
      <sz val="9"/>
      <name val="Tahoma"/>
      <family val="2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sz val="13"/>
      <color rgb="FF000000"/>
      <name val="Arial"/>
      <family val="2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b/>
      <sz val="14"/>
      <name val="Tahoma"/>
      <family val="2"/>
      <charset val="204"/>
    </font>
    <font>
      <b/>
      <sz val="12"/>
      <color theme="1"/>
      <name val="Tahoma"/>
      <family val="2"/>
      <charset val="204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name val="Helv"/>
      <charset val="204"/>
    </font>
    <font>
      <b/>
      <sz val="14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charset val="204"/>
    </font>
    <font>
      <b/>
      <sz val="11"/>
      <color indexed="8"/>
      <name val="Tahoma"/>
      <family val="2"/>
      <charset val="204"/>
    </font>
    <font>
      <sz val="1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color theme="2" tint="-0.499984740745262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2"/>
      <name val="Calibri"/>
      <family val="1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theme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auto="1"/>
      </right>
      <top style="medium">
        <color indexed="64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theme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2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9" fontId="1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40" fillId="0" borderId="0"/>
    <xf numFmtId="0" fontId="3" fillId="11" borderId="0" applyNumberFormat="0" applyBorder="0" applyAlignment="0" applyProtection="0"/>
    <xf numFmtId="0" fontId="10" fillId="0" borderId="0"/>
    <xf numFmtId="0" fontId="41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0" fontId="49" fillId="1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05" applyNumberFormat="0" applyFill="0" applyAlignment="0" applyProtection="0"/>
    <xf numFmtId="0" fontId="60" fillId="0" borderId="106" applyNumberFormat="0" applyFill="0" applyAlignment="0" applyProtection="0"/>
    <xf numFmtId="0" fontId="61" fillId="0" borderId="107" applyNumberFormat="0" applyFill="0" applyAlignment="0" applyProtection="0"/>
    <xf numFmtId="0" fontId="61" fillId="0" borderId="0" applyNumberFormat="0" applyFill="0" applyBorder="0" applyAlignment="0" applyProtection="0"/>
    <xf numFmtId="0" fontId="62" fillId="24" borderId="0" applyNumberFormat="0" applyBorder="0" applyAlignment="0" applyProtection="0"/>
    <xf numFmtId="0" fontId="63" fillId="26" borderId="108" applyNumberFormat="0" applyAlignment="0" applyProtection="0"/>
    <xf numFmtId="0" fontId="64" fillId="27" borderId="109" applyNumberFormat="0" applyAlignment="0" applyProtection="0"/>
    <xf numFmtId="0" fontId="65" fillId="27" borderId="108" applyNumberFormat="0" applyAlignment="0" applyProtection="0"/>
    <xf numFmtId="0" fontId="66" fillId="0" borderId="110" applyNumberFormat="0" applyFill="0" applyAlignment="0" applyProtection="0"/>
    <xf numFmtId="0" fontId="67" fillId="28" borderId="111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7" fillId="0" borderId="113" applyNumberFormat="0" applyFill="0" applyAlignment="0" applyProtection="0"/>
    <xf numFmtId="0" fontId="70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7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70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70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70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70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171" fontId="13" fillId="0" borderId="0" applyFont="0" applyFill="0" applyBorder="0" applyAlignment="0" applyProtection="0"/>
    <xf numFmtId="0" fontId="71" fillId="25" borderId="0" applyNumberFormat="0" applyBorder="0" applyAlignment="0" applyProtection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70" fillId="44" borderId="0" applyNumberFormat="0" applyBorder="0" applyAlignment="0" applyProtection="0"/>
    <xf numFmtId="0" fontId="70" fillId="48" borderId="0" applyNumberFormat="0" applyBorder="0" applyAlignment="0" applyProtection="0"/>
    <xf numFmtId="0" fontId="70" fillId="52" borderId="0" applyNumberFormat="0" applyBorder="0" applyAlignment="0" applyProtection="0"/>
    <xf numFmtId="0" fontId="1" fillId="0" borderId="0"/>
    <xf numFmtId="0" fontId="1" fillId="29" borderId="112" applyNumberFormat="0" applyFont="0" applyAlignment="0" applyProtection="0"/>
    <xf numFmtId="0" fontId="38" fillId="0" borderId="0"/>
    <xf numFmtId="0" fontId="72" fillId="0" borderId="0"/>
    <xf numFmtId="0" fontId="7" fillId="0" borderId="0" applyProtection="0"/>
    <xf numFmtId="0" fontId="73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29" borderId="112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</cellStyleXfs>
  <cellXfs count="774">
    <xf numFmtId="0" fontId="0" fillId="0" borderId="0" xfId="0"/>
    <xf numFmtId="0" fontId="11" fillId="0" borderId="0" xfId="0" applyFont="1"/>
    <xf numFmtId="164" fontId="11" fillId="0" borderId="0" xfId="0" applyNumberFormat="1" applyFont="1"/>
    <xf numFmtId="164" fontId="11" fillId="0" borderId="1" xfId="1" applyNumberFormat="1" applyFont="1" applyBorder="1" applyAlignment="1">
      <alignment horizontal="center" vertical="center" wrapText="1"/>
    </xf>
    <xf numFmtId="9" fontId="11" fillId="0" borderId="0" xfId="5" applyFont="1"/>
    <xf numFmtId="1" fontId="11" fillId="0" borderId="0" xfId="0" applyNumberFormat="1" applyFont="1"/>
    <xf numFmtId="164" fontId="0" fillId="0" borderId="0" xfId="0" applyNumberFormat="1"/>
    <xf numFmtId="3" fontId="14" fillId="3" borderId="11" xfId="1" applyNumberFormat="1" applyFont="1" applyFill="1" applyBorder="1" applyAlignment="1">
      <alignment horizontal="center" vertical="center" wrapText="1"/>
    </xf>
    <xf numFmtId="165" fontId="14" fillId="3" borderId="11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165" fontId="14" fillId="3" borderId="16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11" fillId="0" borderId="0" xfId="10" applyNumberFormat="1" applyFont="1"/>
    <xf numFmtId="43" fontId="11" fillId="0" borderId="0" xfId="10" applyFont="1" applyBorder="1"/>
    <xf numFmtId="43" fontId="0" fillId="0" borderId="0" xfId="10" applyFont="1" applyBorder="1"/>
    <xf numFmtId="43" fontId="11" fillId="0" borderId="0" xfId="10" applyFont="1" applyBorder="1" applyAlignment="1">
      <alignment horizontal="center" vertical="center"/>
    </xf>
    <xf numFmtId="2" fontId="0" fillId="0" borderId="0" xfId="0" applyNumberFormat="1"/>
    <xf numFmtId="0" fontId="17" fillId="0" borderId="1" xfId="1" applyFont="1" applyBorder="1" applyAlignment="1">
      <alignment horizontal="center" vertical="center" wrapText="1"/>
    </xf>
    <xf numFmtId="9" fontId="0" fillId="0" borderId="0" xfId="5" applyFont="1"/>
    <xf numFmtId="44" fontId="0" fillId="0" borderId="0" xfId="0" applyNumberFormat="1"/>
    <xf numFmtId="2" fontId="11" fillId="0" borderId="0" xfId="5" applyNumberFormat="1" applyFont="1"/>
    <xf numFmtId="166" fontId="0" fillId="0" borderId="0" xfId="0" applyNumberFormat="1"/>
    <xf numFmtId="168" fontId="0" fillId="0" borderId="0" xfId="5" applyNumberFormat="1" applyFont="1"/>
    <xf numFmtId="0" fontId="29" fillId="0" borderId="0" xfId="0" applyFont="1"/>
    <xf numFmtId="169" fontId="29" fillId="0" borderId="0" xfId="0" applyNumberFormat="1" applyFont="1"/>
    <xf numFmtId="44" fontId="11" fillId="0" borderId="0" xfId="9" applyFont="1"/>
    <xf numFmtId="164" fontId="22" fillId="3" borderId="26" xfId="1" applyNumberFormat="1" applyFont="1" applyFill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170" fontId="29" fillId="0" borderId="0" xfId="0" applyNumberFormat="1" applyFont="1"/>
    <xf numFmtId="0" fontId="16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17" fillId="0" borderId="1" xfId="2" applyFont="1" applyFill="1" applyBorder="1" applyAlignment="1" applyProtection="1">
      <alignment horizontal="center" vertical="center" wrapText="1"/>
    </xf>
    <xf numFmtId="3" fontId="17" fillId="0" borderId="1" xfId="2" applyNumberFormat="1" applyFont="1" applyFill="1" applyBorder="1" applyAlignment="1" applyProtection="1">
      <alignment horizontal="center" vertical="center" wrapText="1"/>
    </xf>
    <xf numFmtId="43" fontId="11" fillId="0" borderId="0" xfId="10" applyFont="1" applyFill="1" applyBorder="1"/>
    <xf numFmtId="9" fontId="0" fillId="0" borderId="0" xfId="0" applyNumberFormat="1"/>
    <xf numFmtId="44" fontId="0" fillId="0" borderId="0" xfId="9" applyFont="1"/>
    <xf numFmtId="0" fontId="30" fillId="0" borderId="0" xfId="11" applyFont="1" applyAlignment="1">
      <alignment horizontal="centerContinuous"/>
    </xf>
    <xf numFmtId="0" fontId="7" fillId="0" borderId="0" xfId="11" applyAlignment="1">
      <alignment horizontal="centerContinuous"/>
    </xf>
    <xf numFmtId="0" fontId="7" fillId="0" borderId="0" xfId="11"/>
    <xf numFmtId="0" fontId="12" fillId="0" borderId="0" xfId="0" applyFont="1"/>
    <xf numFmtId="0" fontId="17" fillId="0" borderId="3" xfId="1" applyFont="1" applyBorder="1" applyAlignment="1">
      <alignment horizontal="center" vertical="center" wrapText="1"/>
    </xf>
    <xf numFmtId="0" fontId="17" fillId="0" borderId="3" xfId="2" applyFont="1" applyFill="1" applyBorder="1" applyAlignment="1" applyProtection="1">
      <alignment horizontal="center" vertical="center" wrapText="1"/>
    </xf>
    <xf numFmtId="3" fontId="17" fillId="0" borderId="3" xfId="2" applyNumberFormat="1" applyFont="1" applyFill="1" applyBorder="1" applyAlignment="1" applyProtection="1">
      <alignment horizontal="center"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16" fillId="0" borderId="13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0" fontId="17" fillId="0" borderId="13" xfId="2" applyFont="1" applyFill="1" applyBorder="1" applyAlignment="1" applyProtection="1">
      <alignment horizontal="center" vertical="center" wrapText="1"/>
    </xf>
    <xf numFmtId="3" fontId="17" fillId="0" borderId="13" xfId="2" applyNumberFormat="1" applyFont="1" applyFill="1" applyBorder="1" applyAlignment="1" applyProtection="1">
      <alignment horizontal="center" vertical="center" wrapText="1"/>
    </xf>
    <xf numFmtId="164" fontId="11" fillId="0" borderId="13" xfId="1" applyNumberFormat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7" fillId="0" borderId="10" xfId="2" applyFont="1" applyFill="1" applyBorder="1" applyAlignment="1" applyProtection="1">
      <alignment horizontal="center" vertical="center" wrapText="1"/>
    </xf>
    <xf numFmtId="3" fontId="17" fillId="0" borderId="10" xfId="2" applyNumberFormat="1" applyFont="1" applyFill="1" applyBorder="1" applyAlignment="1" applyProtection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7" fillId="0" borderId="6" xfId="1" applyFont="1" applyBorder="1" applyAlignment="1">
      <alignment horizontal="center" vertical="center" wrapText="1"/>
    </xf>
    <xf numFmtId="0" fontId="17" fillId="0" borderId="32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17" fillId="0" borderId="32" xfId="2" applyFont="1" applyFill="1" applyBorder="1" applyAlignment="1" applyProtection="1">
      <alignment horizontal="center" vertical="center" wrapText="1"/>
    </xf>
    <xf numFmtId="3" fontId="17" fillId="0" borderId="32" xfId="2" applyNumberFormat="1" applyFont="1" applyFill="1" applyBorder="1" applyAlignment="1" applyProtection="1">
      <alignment horizontal="center" vertical="center" wrapText="1"/>
    </xf>
    <xf numFmtId="164" fontId="11" fillId="0" borderId="32" xfId="1" applyNumberFormat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36" xfId="2" applyFont="1" applyFill="1" applyBorder="1" applyAlignment="1" applyProtection="1">
      <alignment horizontal="center" vertical="center" wrapText="1"/>
    </xf>
    <xf numFmtId="43" fontId="11" fillId="0" borderId="0" xfId="10" applyFont="1" applyFill="1" applyBorder="1" applyAlignment="1">
      <alignment horizontal="center" vertical="center"/>
    </xf>
    <xf numFmtId="172" fontId="7" fillId="0" borderId="19" xfId="12" applyNumberFormat="1" applyBorder="1" applyAlignment="1">
      <alignment horizontal="center" vertical="center"/>
    </xf>
    <xf numFmtId="172" fontId="7" fillId="0" borderId="43" xfId="12" applyNumberFormat="1" applyBorder="1" applyAlignment="1">
      <alignment horizontal="center" vertical="center"/>
    </xf>
    <xf numFmtId="172" fontId="7" fillId="0" borderId="7" xfId="12" applyNumberFormat="1" applyBorder="1" applyAlignment="1">
      <alignment horizontal="center" vertical="center"/>
    </xf>
    <xf numFmtId="0" fontId="31" fillId="0" borderId="23" xfId="11" applyFont="1" applyBorder="1" applyAlignment="1">
      <alignment horizontal="center"/>
    </xf>
    <xf numFmtId="0" fontId="31" fillId="0" borderId="21" xfId="11" applyFont="1" applyBorder="1" applyAlignment="1">
      <alignment horizontal="center"/>
    </xf>
    <xf numFmtId="0" fontId="31" fillId="7" borderId="4" xfId="11" applyFont="1" applyFill="1" applyBorder="1" applyAlignment="1">
      <alignment horizontal="center"/>
    </xf>
    <xf numFmtId="43" fontId="35" fillId="0" borderId="0" xfId="10" applyFont="1" applyBorder="1"/>
    <xf numFmtId="0" fontId="26" fillId="0" borderId="32" xfId="1" applyFont="1" applyBorder="1" applyAlignment="1">
      <alignment horizontal="center" vertical="center" wrapText="1"/>
    </xf>
    <xf numFmtId="164" fontId="23" fillId="0" borderId="14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/>
    </xf>
    <xf numFmtId="174" fontId="11" fillId="0" borderId="32" xfId="1" applyNumberFormat="1" applyFont="1" applyBorder="1" applyAlignment="1">
      <alignment horizontal="center" vertical="center" wrapText="1"/>
    </xf>
    <xf numFmtId="164" fontId="11" fillId="0" borderId="12" xfId="1" applyNumberFormat="1" applyFont="1" applyBorder="1" applyAlignment="1">
      <alignment horizontal="center" vertical="center" wrapText="1"/>
    </xf>
    <xf numFmtId="164" fontId="11" fillId="0" borderId="8" xfId="1" applyNumberFormat="1" applyFont="1" applyBorder="1" applyAlignment="1">
      <alignment horizontal="center" vertical="center" wrapText="1"/>
    </xf>
    <xf numFmtId="164" fontId="11" fillId="0" borderId="28" xfId="1" applyNumberFormat="1" applyFont="1" applyBorder="1" applyAlignment="1">
      <alignment horizontal="center" vertical="center" wrapText="1"/>
    </xf>
    <xf numFmtId="164" fontId="11" fillId="0" borderId="14" xfId="1" applyNumberFormat="1" applyFont="1" applyBorder="1" applyAlignment="1">
      <alignment horizontal="center" vertical="center" wrapText="1"/>
    </xf>
    <xf numFmtId="164" fontId="11" fillId="0" borderId="9" xfId="1" applyNumberFormat="1" applyFont="1" applyBorder="1" applyAlignment="1">
      <alignment horizontal="center" vertical="center" wrapText="1"/>
    </xf>
    <xf numFmtId="164" fontId="11" fillId="0" borderId="33" xfId="1" applyNumberFormat="1" applyFont="1" applyBorder="1" applyAlignment="1">
      <alignment horizontal="center" vertical="center" wrapText="1"/>
    </xf>
    <xf numFmtId="3" fontId="11" fillId="0" borderId="34" xfId="1" applyNumberFormat="1" applyFont="1" applyBorder="1" applyAlignment="1">
      <alignment horizontal="center" vertical="center" wrapText="1"/>
    </xf>
    <xf numFmtId="3" fontId="11" fillId="0" borderId="46" xfId="1" applyNumberFormat="1" applyFont="1" applyBorder="1" applyAlignment="1">
      <alignment horizontal="center" vertical="center" wrapText="1"/>
    </xf>
    <xf numFmtId="3" fontId="11" fillId="0" borderId="47" xfId="1" applyNumberFormat="1" applyFont="1" applyBorder="1" applyAlignment="1">
      <alignment horizontal="center" vertical="center" wrapText="1"/>
    </xf>
    <xf numFmtId="174" fontId="11" fillId="0" borderId="14" xfId="1" applyNumberFormat="1" applyFont="1" applyBorder="1" applyAlignment="1">
      <alignment horizontal="center" vertical="center" wrapText="1"/>
    </xf>
    <xf numFmtId="174" fontId="11" fillId="0" borderId="9" xfId="1" applyNumberFormat="1" applyFont="1" applyBorder="1" applyAlignment="1">
      <alignment horizontal="center" vertical="center" wrapText="1"/>
    </xf>
    <xf numFmtId="174" fontId="11" fillId="0" borderId="33" xfId="1" applyNumberFormat="1" applyFont="1" applyBorder="1" applyAlignment="1">
      <alignment horizontal="center" vertical="center" wrapText="1"/>
    </xf>
    <xf numFmtId="0" fontId="16" fillId="2" borderId="17" xfId="1" applyFont="1" applyFill="1" applyBorder="1" applyAlignment="1">
      <alignment vertical="center"/>
    </xf>
    <xf numFmtId="0" fontId="16" fillId="2" borderId="17" xfId="1" applyFont="1" applyFill="1" applyBorder="1" applyAlignment="1">
      <alignment horizontal="center" vertical="center"/>
    </xf>
    <xf numFmtId="165" fontId="14" fillId="9" borderId="53" xfId="1" applyNumberFormat="1" applyFont="1" applyFill="1" applyBorder="1" applyAlignment="1">
      <alignment horizontal="center" vertical="center" wrapText="1"/>
    </xf>
    <xf numFmtId="0" fontId="36" fillId="2" borderId="54" xfId="1" applyFont="1" applyFill="1" applyBorder="1" applyAlignment="1">
      <alignment vertical="center"/>
    </xf>
    <xf numFmtId="0" fontId="16" fillId="2" borderId="55" xfId="1" applyFont="1" applyFill="1" applyBorder="1" applyAlignment="1">
      <alignment vertical="center"/>
    </xf>
    <xf numFmtId="9" fontId="11" fillId="0" borderId="57" xfId="5" applyFont="1" applyFill="1" applyBorder="1" applyAlignment="1">
      <alignment horizontal="center" vertical="center" wrapText="1"/>
    </xf>
    <xf numFmtId="9" fontId="11" fillId="0" borderId="59" xfId="5" applyFont="1" applyFill="1" applyBorder="1" applyAlignment="1">
      <alignment horizontal="center" vertical="center" wrapText="1"/>
    </xf>
    <xf numFmtId="9" fontId="11" fillId="0" borderId="48" xfId="5" applyFont="1" applyFill="1" applyBorder="1" applyAlignment="1">
      <alignment horizontal="center" vertical="center" wrapText="1"/>
    </xf>
    <xf numFmtId="0" fontId="33" fillId="4" borderId="61" xfId="1" applyFont="1" applyFill="1" applyBorder="1" applyAlignment="1">
      <alignment vertical="center" wrapText="1"/>
    </xf>
    <xf numFmtId="0" fontId="33" fillId="4" borderId="62" xfId="1" applyFont="1" applyFill="1" applyBorder="1" applyAlignment="1">
      <alignment vertical="center" wrapText="1"/>
    </xf>
    <xf numFmtId="164" fontId="34" fillId="4" borderId="63" xfId="1" applyNumberFormat="1" applyFont="1" applyFill="1" applyBorder="1" applyAlignment="1">
      <alignment horizontal="center" vertical="center" wrapText="1"/>
    </xf>
    <xf numFmtId="164" fontId="34" fillId="4" borderId="64" xfId="1" applyNumberFormat="1" applyFont="1" applyFill="1" applyBorder="1" applyAlignment="1">
      <alignment horizontal="center" vertical="center" wrapText="1"/>
    </xf>
    <xf numFmtId="164" fontId="34" fillId="4" borderId="65" xfId="1" applyNumberFormat="1" applyFont="1" applyFill="1" applyBorder="1" applyAlignment="1">
      <alignment horizontal="center" vertical="center" wrapText="1"/>
    </xf>
    <xf numFmtId="3" fontId="34" fillId="4" borderId="63" xfId="1" applyNumberFormat="1" applyFont="1" applyFill="1" applyBorder="1" applyAlignment="1">
      <alignment horizontal="center" vertical="center" wrapText="1"/>
    </xf>
    <xf numFmtId="3" fontId="33" fillId="4" borderId="65" xfId="1" applyNumberFormat="1" applyFont="1" applyFill="1" applyBorder="1" applyAlignment="1">
      <alignment horizontal="center" vertical="center" wrapText="1"/>
    </xf>
    <xf numFmtId="3" fontId="33" fillId="4" borderId="64" xfId="1" applyNumberFormat="1" applyFont="1" applyFill="1" applyBorder="1" applyAlignment="1">
      <alignment horizontal="center" vertical="center" wrapText="1"/>
    </xf>
    <xf numFmtId="174" fontId="34" fillId="4" borderId="64" xfId="1" applyNumberFormat="1" applyFont="1" applyFill="1" applyBorder="1" applyAlignment="1">
      <alignment horizontal="center" vertical="center" wrapText="1"/>
    </xf>
    <xf numFmtId="9" fontId="34" fillId="4" borderId="64" xfId="5" applyFont="1" applyFill="1" applyBorder="1" applyAlignment="1">
      <alignment horizontal="center" vertical="center" wrapText="1"/>
    </xf>
    <xf numFmtId="174" fontId="34" fillId="4" borderId="65" xfId="1" applyNumberFormat="1" applyFont="1" applyFill="1" applyBorder="1" applyAlignment="1">
      <alignment horizontal="center" vertical="center" wrapText="1"/>
    </xf>
    <xf numFmtId="3" fontId="33" fillId="4" borderId="66" xfId="1" applyNumberFormat="1" applyFont="1" applyFill="1" applyBorder="1" applyAlignment="1">
      <alignment horizontal="center" vertical="center" wrapText="1"/>
    </xf>
    <xf numFmtId="166" fontId="34" fillId="4" borderId="65" xfId="5" applyNumberFormat="1" applyFont="1" applyFill="1" applyBorder="1" applyAlignment="1">
      <alignment horizontal="center" vertical="center" wrapText="1"/>
    </xf>
    <xf numFmtId="9" fontId="34" fillId="4" borderId="67" xfId="5" applyFont="1" applyFill="1" applyBorder="1" applyAlignment="1">
      <alignment horizontal="center" vertical="center" wrapText="1"/>
    </xf>
    <xf numFmtId="164" fontId="23" fillId="0" borderId="0" xfId="1" applyNumberFormat="1" applyFont="1" applyAlignment="1">
      <alignment horizontal="center" vertical="center" wrapText="1"/>
    </xf>
    <xf numFmtId="0" fontId="17" fillId="0" borderId="7" xfId="2" applyFont="1" applyFill="1" applyBorder="1" applyAlignment="1" applyProtection="1">
      <alignment horizontal="center" vertical="center" wrapText="1"/>
    </xf>
    <xf numFmtId="0" fontId="17" fillId="0" borderId="20" xfId="2" applyFont="1" applyFill="1" applyBorder="1" applyAlignment="1" applyProtection="1">
      <alignment horizontal="center" vertical="center" wrapText="1"/>
    </xf>
    <xf numFmtId="10" fontId="11" fillId="0" borderId="0" xfId="5" applyNumberFormat="1" applyFont="1"/>
    <xf numFmtId="0" fontId="17" fillId="0" borderId="50" xfId="1" applyFont="1" applyBorder="1" applyAlignment="1">
      <alignment horizontal="center" vertical="center" wrapText="1"/>
    </xf>
    <xf numFmtId="0" fontId="16" fillId="0" borderId="50" xfId="1" applyFont="1" applyBorder="1" applyAlignment="1">
      <alignment horizontal="center" vertical="center" wrapText="1"/>
    </xf>
    <xf numFmtId="0" fontId="26" fillId="0" borderId="50" xfId="1" applyFont="1" applyBorder="1" applyAlignment="1">
      <alignment horizontal="center" vertical="center" wrapText="1"/>
    </xf>
    <xf numFmtId="0" fontId="17" fillId="0" borderId="50" xfId="2" applyFont="1" applyFill="1" applyBorder="1" applyAlignment="1" applyProtection="1">
      <alignment horizontal="center" vertical="center" wrapText="1"/>
    </xf>
    <xf numFmtId="3" fontId="17" fillId="0" borderId="50" xfId="2" applyNumberFormat="1" applyFont="1" applyFill="1" applyBorder="1" applyAlignment="1" applyProtection="1">
      <alignment horizontal="center" vertical="center" wrapText="1"/>
    </xf>
    <xf numFmtId="9" fontId="11" fillId="0" borderId="60" xfId="5" applyFont="1" applyFill="1" applyBorder="1" applyAlignment="1">
      <alignment horizontal="center" vertical="center" wrapText="1"/>
    </xf>
    <xf numFmtId="3" fontId="17" fillId="0" borderId="36" xfId="2" applyNumberFormat="1" applyFont="1" applyFill="1" applyBorder="1" applyAlignment="1" applyProtection="1">
      <alignment horizontal="center" vertical="center" wrapText="1"/>
    </xf>
    <xf numFmtId="164" fontId="11" fillId="0" borderId="36" xfId="1" applyNumberFormat="1" applyFont="1" applyBorder="1" applyAlignment="1">
      <alignment horizontal="center" vertical="center" wrapText="1"/>
    </xf>
    <xf numFmtId="164" fontId="11" fillId="0" borderId="31" xfId="1" applyNumberFormat="1" applyFont="1" applyBorder="1" applyAlignment="1">
      <alignment horizontal="center" vertical="center" wrapText="1"/>
    </xf>
    <xf numFmtId="164" fontId="11" fillId="0" borderId="37" xfId="1" applyNumberFormat="1" applyFont="1" applyBorder="1" applyAlignment="1">
      <alignment horizontal="center" vertical="center" wrapText="1"/>
    </xf>
    <xf numFmtId="3" fontId="17" fillId="0" borderId="36" xfId="1" applyNumberFormat="1" applyFont="1" applyBorder="1" applyAlignment="1">
      <alignment horizontal="center" vertical="center" wrapText="1"/>
    </xf>
    <xf numFmtId="174" fontId="11" fillId="0" borderId="36" xfId="1" applyNumberFormat="1" applyFont="1" applyBorder="1" applyAlignment="1">
      <alignment horizontal="center" vertical="center" wrapText="1"/>
    </xf>
    <xf numFmtId="174" fontId="11" fillId="0" borderId="37" xfId="1" applyNumberFormat="1" applyFont="1" applyBorder="1" applyAlignment="1">
      <alignment horizontal="center" vertical="center" wrapText="1"/>
    </xf>
    <xf numFmtId="3" fontId="11" fillId="0" borderId="35" xfId="1" applyNumberFormat="1" applyFont="1" applyBorder="1" applyAlignment="1">
      <alignment horizontal="center" vertical="center" wrapText="1"/>
    </xf>
    <xf numFmtId="0" fontId="36" fillId="2" borderId="17" xfId="1" applyFont="1" applyFill="1" applyBorder="1" applyAlignment="1">
      <alignment vertical="center"/>
    </xf>
    <xf numFmtId="0" fontId="36" fillId="2" borderId="2" xfId="1" applyFont="1" applyFill="1" applyBorder="1" applyAlignment="1">
      <alignment vertical="center"/>
    </xf>
    <xf numFmtId="0" fontId="16" fillId="2" borderId="4" xfId="1" applyFont="1" applyFill="1" applyBorder="1" applyAlignment="1">
      <alignment vertical="center"/>
    </xf>
    <xf numFmtId="0" fontId="26" fillId="0" borderId="10" xfId="1" applyFont="1" applyBorder="1" applyAlignment="1">
      <alignment horizontal="center" vertical="center" wrapText="1"/>
    </xf>
    <xf numFmtId="0" fontId="14" fillId="9" borderId="25" xfId="1" applyFont="1" applyFill="1" applyBorder="1" applyAlignment="1">
      <alignment horizontal="center" vertical="center" wrapText="1"/>
    </xf>
    <xf numFmtId="0" fontId="14" fillId="9" borderId="15" xfId="1" applyFont="1" applyFill="1" applyBorder="1" applyAlignment="1">
      <alignment horizontal="center" vertical="center" wrapText="1"/>
    </xf>
    <xf numFmtId="0" fontId="14" fillId="9" borderId="11" xfId="1" applyFont="1" applyFill="1" applyBorder="1" applyAlignment="1">
      <alignment horizontal="center" vertical="center" wrapText="1"/>
    </xf>
    <xf numFmtId="165" fontId="14" fillId="9" borderId="11" xfId="1" applyNumberFormat="1" applyFont="1" applyFill="1" applyBorder="1" applyAlignment="1">
      <alignment horizontal="center" vertical="center" wrapText="1"/>
    </xf>
    <xf numFmtId="0" fontId="17" fillId="0" borderId="39" xfId="1" applyFont="1" applyBorder="1" applyAlignment="1">
      <alignment horizontal="center" vertical="center"/>
    </xf>
    <xf numFmtId="0" fontId="17" fillId="0" borderId="3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0" xfId="1" applyFont="1" applyBorder="1" applyAlignment="1">
      <alignment horizontal="center" vertical="center"/>
    </xf>
    <xf numFmtId="0" fontId="17" fillId="0" borderId="75" xfId="1" applyFont="1" applyBorder="1" applyAlignment="1">
      <alignment horizontal="center" vertical="center"/>
    </xf>
    <xf numFmtId="164" fontId="34" fillId="4" borderId="23" xfId="1" applyNumberFormat="1" applyFont="1" applyFill="1" applyBorder="1" applyAlignment="1">
      <alignment horizontal="center" vertical="center" wrapText="1"/>
    </xf>
    <xf numFmtId="164" fontId="34" fillId="4" borderId="24" xfId="1" applyNumberFormat="1" applyFont="1" applyFill="1" applyBorder="1" applyAlignment="1">
      <alignment horizontal="center" vertical="center" wrapText="1"/>
    </xf>
    <xf numFmtId="164" fontId="11" fillId="0" borderId="22" xfId="1" applyNumberFormat="1" applyFont="1" applyBorder="1" applyAlignment="1">
      <alignment horizontal="center" vertical="center" wrapText="1"/>
    </xf>
    <xf numFmtId="164" fontId="11" fillId="0" borderId="27" xfId="1" applyNumberFormat="1" applyFont="1" applyBorder="1" applyAlignment="1">
      <alignment horizontal="center" vertical="center" wrapText="1"/>
    </xf>
    <xf numFmtId="164" fontId="11" fillId="0" borderId="18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64" fontId="34" fillId="4" borderId="4" xfId="1" applyNumberFormat="1" applyFont="1" applyFill="1" applyBorder="1" applyAlignment="1">
      <alignment horizontal="center" vertical="center" wrapText="1"/>
    </xf>
    <xf numFmtId="164" fontId="34" fillId="4" borderId="21" xfId="1" applyNumberFormat="1" applyFont="1" applyFill="1" applyBorder="1" applyAlignment="1">
      <alignment horizontal="center" vertical="center" wrapText="1"/>
    </xf>
    <xf numFmtId="165" fontId="14" fillId="9" borderId="16" xfId="1" applyNumberFormat="1" applyFont="1" applyFill="1" applyBorder="1" applyAlignment="1">
      <alignment horizontal="center" vertical="center" wrapText="1"/>
    </xf>
    <xf numFmtId="3" fontId="17" fillId="0" borderId="34" xfId="1" applyNumberFormat="1" applyFont="1" applyBorder="1" applyAlignment="1">
      <alignment horizontal="center" vertical="center" wrapText="1"/>
    </xf>
    <xf numFmtId="3" fontId="17" fillId="0" borderId="46" xfId="1" applyNumberFormat="1" applyFont="1" applyBorder="1" applyAlignment="1">
      <alignment horizontal="center" vertical="center" wrapText="1"/>
    </xf>
    <xf numFmtId="3" fontId="17" fillId="0" borderId="47" xfId="1" applyNumberFormat="1" applyFont="1" applyBorder="1" applyAlignment="1">
      <alignment horizontal="center" vertical="center" wrapText="1"/>
    </xf>
    <xf numFmtId="3" fontId="17" fillId="0" borderId="72" xfId="1" applyNumberFormat="1" applyFont="1" applyBorder="1" applyAlignment="1">
      <alignment horizontal="center" vertical="center" wrapText="1"/>
    </xf>
    <xf numFmtId="3" fontId="17" fillId="0" borderId="6" xfId="1" applyNumberFormat="1" applyFont="1" applyBorder="1" applyAlignment="1">
      <alignment horizontal="center" vertical="center" wrapText="1"/>
    </xf>
    <xf numFmtId="3" fontId="34" fillId="4" borderId="66" xfId="1" applyNumberFormat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vertical="center"/>
    </xf>
    <xf numFmtId="0" fontId="16" fillId="2" borderId="44" xfId="1" applyFont="1" applyFill="1" applyBorder="1" applyAlignment="1">
      <alignment horizontal="center" vertical="center"/>
    </xf>
    <xf numFmtId="164" fontId="23" fillId="0" borderId="12" xfId="1" applyNumberFormat="1" applyFont="1" applyBorder="1" applyAlignment="1">
      <alignment horizontal="right" vertical="center" wrapText="1"/>
    </xf>
    <xf numFmtId="164" fontId="23" fillId="0" borderId="8" xfId="1" applyNumberFormat="1" applyFont="1" applyBorder="1" applyAlignment="1">
      <alignment horizontal="right" vertical="center" wrapText="1"/>
    </xf>
    <xf numFmtId="3" fontId="17" fillId="0" borderId="39" xfId="1" applyNumberFormat="1" applyFont="1" applyBorder="1" applyAlignment="1">
      <alignment horizontal="center" vertical="center" wrapText="1"/>
    </xf>
    <xf numFmtId="3" fontId="17" fillId="0" borderId="38" xfId="1" applyNumberFormat="1" applyFont="1" applyBorder="1" applyAlignment="1">
      <alignment horizontal="center" vertical="center" wrapText="1"/>
    </xf>
    <xf numFmtId="3" fontId="17" fillId="0" borderId="41" xfId="1" applyNumberFormat="1" applyFont="1" applyBorder="1" applyAlignment="1">
      <alignment horizontal="center" vertical="center" wrapText="1"/>
    </xf>
    <xf numFmtId="3" fontId="17" fillId="0" borderId="40" xfId="1" applyNumberFormat="1" applyFont="1" applyBorder="1" applyAlignment="1">
      <alignment horizontal="center" vertical="center" wrapText="1"/>
    </xf>
    <xf numFmtId="3" fontId="17" fillId="0" borderId="75" xfId="1" applyNumberFormat="1" applyFont="1" applyBorder="1" applyAlignment="1">
      <alignment horizontal="center" vertical="center" wrapText="1"/>
    </xf>
    <xf numFmtId="3" fontId="33" fillId="4" borderId="77" xfId="1" applyNumberFormat="1" applyFont="1" applyFill="1" applyBorder="1" applyAlignment="1">
      <alignment horizontal="center" vertical="center" wrapText="1"/>
    </xf>
    <xf numFmtId="3" fontId="33" fillId="4" borderId="21" xfId="1" applyNumberFormat="1" applyFont="1" applyFill="1" applyBorder="1" applyAlignment="1">
      <alignment horizontal="center" vertical="center" wrapText="1"/>
    </xf>
    <xf numFmtId="9" fontId="34" fillId="4" borderId="21" xfId="5" applyFont="1" applyFill="1" applyBorder="1" applyAlignment="1">
      <alignment horizontal="center" vertical="center" wrapText="1"/>
    </xf>
    <xf numFmtId="174" fontId="34" fillId="4" borderId="24" xfId="1" applyNumberFormat="1" applyFont="1" applyFill="1" applyBorder="1" applyAlignment="1">
      <alignment horizontal="center" vertical="center" wrapText="1"/>
    </xf>
    <xf numFmtId="9" fontId="11" fillId="0" borderId="70" xfId="5" applyFont="1" applyFill="1" applyBorder="1" applyAlignment="1">
      <alignment horizontal="center" vertical="center" wrapText="1"/>
    </xf>
    <xf numFmtId="9" fontId="11" fillId="0" borderId="71" xfId="5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/>
    </xf>
    <xf numFmtId="174" fontId="16" fillId="2" borderId="17" xfId="1" applyNumberFormat="1" applyFont="1" applyFill="1" applyBorder="1" applyAlignment="1">
      <alignment horizontal="center" vertical="center"/>
    </xf>
    <xf numFmtId="174" fontId="11" fillId="0" borderId="3" xfId="1" applyNumberFormat="1" applyFont="1" applyBorder="1" applyAlignment="1">
      <alignment horizontal="center" vertical="center" wrapText="1"/>
    </xf>
    <xf numFmtId="166" fontId="16" fillId="2" borderId="17" xfId="1" applyNumberFormat="1" applyFont="1" applyFill="1" applyBorder="1" applyAlignment="1">
      <alignment horizontal="center" vertical="center"/>
    </xf>
    <xf numFmtId="174" fontId="11" fillId="0" borderId="5" xfId="1" applyNumberFormat="1" applyFont="1" applyBorder="1" applyAlignment="1">
      <alignment horizontal="center" vertical="center" wrapText="1"/>
    </xf>
    <xf numFmtId="9" fontId="34" fillId="4" borderId="23" xfId="5" applyFont="1" applyFill="1" applyBorder="1" applyAlignment="1">
      <alignment horizontal="center" vertical="center" wrapText="1"/>
    </xf>
    <xf numFmtId="164" fontId="17" fillId="0" borderId="13" xfId="2" applyNumberFormat="1" applyFont="1" applyFill="1" applyBorder="1" applyAlignment="1" applyProtection="1">
      <alignment horizontal="center" vertical="center" wrapText="1"/>
    </xf>
    <xf numFmtId="164" fontId="17" fillId="0" borderId="1" xfId="2" applyNumberFormat="1" applyFont="1" applyFill="1" applyBorder="1" applyAlignment="1" applyProtection="1">
      <alignment horizontal="center" vertical="center" wrapText="1"/>
    </xf>
    <xf numFmtId="164" fontId="17" fillId="0" borderId="32" xfId="2" applyNumberFormat="1" applyFont="1" applyFill="1" applyBorder="1" applyAlignment="1" applyProtection="1">
      <alignment horizontal="center" vertical="center" wrapText="1"/>
    </xf>
    <xf numFmtId="175" fontId="34" fillId="4" borderId="64" xfId="1" applyNumberFormat="1" applyFont="1" applyFill="1" applyBorder="1" applyAlignment="1">
      <alignment horizontal="center" vertical="center" wrapText="1"/>
    </xf>
    <xf numFmtId="9" fontId="0" fillId="0" borderId="0" xfId="5" applyFont="1" applyAlignment="1">
      <alignment horizontal="center" vertical="center"/>
    </xf>
    <xf numFmtId="9" fontId="32" fillId="0" borderId="19" xfId="13" applyFont="1" applyFill="1" applyBorder="1" applyAlignment="1">
      <alignment horizontal="center" vertical="center"/>
    </xf>
    <xf numFmtId="173" fontId="0" fillId="0" borderId="0" xfId="0" applyNumberFormat="1"/>
    <xf numFmtId="164" fontId="17" fillId="0" borderId="3" xfId="2" applyNumberFormat="1" applyFont="1" applyFill="1" applyBorder="1" applyAlignment="1" applyProtection="1">
      <alignment horizontal="center" vertical="center" wrapText="1"/>
    </xf>
    <xf numFmtId="164" fontId="17" fillId="0" borderId="20" xfId="2" applyNumberFormat="1" applyFont="1" applyFill="1" applyBorder="1" applyAlignment="1" applyProtection="1">
      <alignment horizontal="center" vertical="center" wrapText="1"/>
    </xf>
    <xf numFmtId="164" fontId="17" fillId="0" borderId="10" xfId="2" applyNumberFormat="1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5" fontId="16" fillId="2" borderId="17" xfId="1" applyNumberFormat="1" applyFont="1" applyFill="1" applyBorder="1" applyAlignment="1">
      <alignment horizontal="center" vertical="center"/>
    </xf>
    <xf numFmtId="175" fontId="34" fillId="4" borderId="21" xfId="1" applyNumberFormat="1" applyFont="1" applyFill="1" applyBorder="1" applyAlignment="1">
      <alignment horizontal="center" vertical="center" wrapText="1"/>
    </xf>
    <xf numFmtId="0" fontId="39" fillId="0" borderId="0" xfId="0" applyFont="1"/>
    <xf numFmtId="0" fontId="15" fillId="3" borderId="7" xfId="3" applyFont="1" applyFill="1" applyBorder="1" applyAlignment="1">
      <alignment horizontal="center" vertical="center" wrapText="1"/>
    </xf>
    <xf numFmtId="9" fontId="7" fillId="0" borderId="0" xfId="5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11" fillId="0" borderId="12" xfId="5" applyFont="1" applyFill="1" applyBorder="1" applyAlignment="1">
      <alignment horizontal="center" vertical="center" wrapText="1"/>
    </xf>
    <xf numFmtId="175" fontId="11" fillId="0" borderId="13" xfId="1" applyNumberFormat="1" applyFont="1" applyBorder="1" applyAlignment="1">
      <alignment horizontal="center" vertical="center" wrapText="1"/>
    </xf>
    <xf numFmtId="166" fontId="11" fillId="0" borderId="14" xfId="5" applyNumberFormat="1" applyFont="1" applyFill="1" applyBorder="1" applyAlignment="1">
      <alignment horizontal="center" vertical="center"/>
    </xf>
    <xf numFmtId="9" fontId="11" fillId="0" borderId="8" xfId="5" applyFont="1" applyFill="1" applyBorder="1" applyAlignment="1">
      <alignment horizontal="center" vertical="center" wrapText="1"/>
    </xf>
    <xf numFmtId="175" fontId="11" fillId="0" borderId="1" xfId="1" applyNumberFormat="1" applyFont="1" applyBorder="1" applyAlignment="1">
      <alignment horizontal="center" vertical="center" wrapText="1"/>
    </xf>
    <xf numFmtId="166" fontId="11" fillId="0" borderId="9" xfId="5" applyNumberFormat="1" applyFont="1" applyFill="1" applyBorder="1" applyAlignment="1">
      <alignment horizontal="center" vertical="center"/>
    </xf>
    <xf numFmtId="175" fontId="11" fillId="0" borderId="32" xfId="1" applyNumberFormat="1" applyFont="1" applyBorder="1" applyAlignment="1">
      <alignment horizontal="center" vertical="center" wrapText="1"/>
    </xf>
    <xf numFmtId="166" fontId="11" fillId="0" borderId="33" xfId="5" applyNumberFormat="1" applyFont="1" applyFill="1" applyBorder="1" applyAlignment="1">
      <alignment horizontal="center" vertical="center"/>
    </xf>
    <xf numFmtId="9" fontId="11" fillId="0" borderId="28" xfId="5" applyFont="1" applyFill="1" applyBorder="1" applyAlignment="1">
      <alignment horizontal="center" vertical="center" wrapText="1"/>
    </xf>
    <xf numFmtId="9" fontId="11" fillId="0" borderId="18" xfId="5" applyFont="1" applyFill="1" applyBorder="1" applyAlignment="1">
      <alignment horizontal="center" vertical="center" wrapText="1"/>
    </xf>
    <xf numFmtId="175" fontId="11" fillId="0" borderId="10" xfId="1" applyNumberFormat="1" applyFont="1" applyBorder="1" applyAlignment="1">
      <alignment horizontal="center" vertical="center" wrapText="1"/>
    </xf>
    <xf numFmtId="166" fontId="11" fillId="0" borderId="5" xfId="5" applyNumberFormat="1" applyFont="1" applyFill="1" applyBorder="1" applyAlignment="1">
      <alignment horizontal="center" vertical="center"/>
    </xf>
    <xf numFmtId="175" fontId="11" fillId="0" borderId="13" xfId="5" applyNumberFormat="1" applyFont="1" applyFill="1" applyBorder="1" applyAlignment="1">
      <alignment horizontal="center" vertical="center" wrapText="1"/>
    </xf>
    <xf numFmtId="9" fontId="11" fillId="0" borderId="69" xfId="5" applyFont="1" applyFill="1" applyBorder="1" applyAlignment="1">
      <alignment horizontal="center" vertical="center" wrapText="1"/>
    </xf>
    <xf numFmtId="175" fontId="11" fillId="0" borderId="32" xfId="5" applyNumberFormat="1" applyFont="1" applyFill="1" applyBorder="1" applyAlignment="1">
      <alignment horizontal="center" vertical="center" wrapText="1"/>
    </xf>
    <xf numFmtId="175" fontId="11" fillId="0" borderId="1" xfId="5" applyNumberFormat="1" applyFont="1" applyFill="1" applyBorder="1" applyAlignment="1">
      <alignment horizontal="center" vertical="center" wrapText="1"/>
    </xf>
    <xf numFmtId="166" fontId="11" fillId="0" borderId="13" xfId="5" applyNumberFormat="1" applyFont="1" applyFill="1" applyBorder="1" applyAlignment="1">
      <alignment horizontal="center" vertical="center"/>
    </xf>
    <xf numFmtId="166" fontId="11" fillId="0" borderId="1" xfId="5" applyNumberFormat="1" applyFont="1" applyFill="1" applyBorder="1" applyAlignment="1">
      <alignment horizontal="center" vertical="center"/>
    </xf>
    <xf numFmtId="9" fontId="11" fillId="0" borderId="51" xfId="5" applyFont="1" applyFill="1" applyBorder="1" applyAlignment="1">
      <alignment horizontal="center" vertical="center" wrapText="1"/>
    </xf>
    <xf numFmtId="166" fontId="11" fillId="0" borderId="27" xfId="5" applyNumberFormat="1" applyFont="1" applyFill="1" applyBorder="1" applyAlignment="1">
      <alignment horizontal="center" vertical="center"/>
    </xf>
    <xf numFmtId="166" fontId="11" fillId="0" borderId="74" xfId="5" applyNumberFormat="1" applyFont="1" applyFill="1" applyBorder="1" applyAlignment="1">
      <alignment horizontal="center" vertical="center"/>
    </xf>
    <xf numFmtId="9" fontId="11" fillId="0" borderId="50" xfId="5" applyFont="1" applyFill="1" applyBorder="1" applyAlignment="1">
      <alignment horizontal="center" vertical="center" wrapText="1"/>
    </xf>
    <xf numFmtId="9" fontId="11" fillId="0" borderId="36" xfId="5" applyFont="1" applyFill="1" applyBorder="1" applyAlignment="1">
      <alignment horizontal="center" vertical="center" wrapText="1"/>
    </xf>
    <xf numFmtId="166" fontId="11" fillId="0" borderId="37" xfId="5" applyNumberFormat="1" applyFont="1" applyFill="1" applyBorder="1" applyAlignment="1">
      <alignment horizontal="center" vertical="center"/>
    </xf>
    <xf numFmtId="175" fontId="11" fillId="0" borderId="36" xfId="1" applyNumberFormat="1" applyFont="1" applyBorder="1" applyAlignment="1">
      <alignment horizontal="center" vertical="center" wrapText="1"/>
    </xf>
    <xf numFmtId="0" fontId="33" fillId="10" borderId="61" xfId="1" applyFont="1" applyFill="1" applyBorder="1" applyAlignment="1">
      <alignment vertical="center" wrapText="1"/>
    </xf>
    <xf numFmtId="0" fontId="33" fillId="10" borderId="62" xfId="1" applyFont="1" applyFill="1" applyBorder="1" applyAlignment="1">
      <alignment vertical="center" wrapText="1"/>
    </xf>
    <xf numFmtId="164" fontId="34" fillId="10" borderId="23" xfId="1" applyNumberFormat="1" applyFont="1" applyFill="1" applyBorder="1" applyAlignment="1">
      <alignment horizontal="center" vertical="center" wrapText="1"/>
    </xf>
    <xf numFmtId="164" fontId="34" fillId="10" borderId="21" xfId="1" applyNumberFormat="1" applyFont="1" applyFill="1" applyBorder="1" applyAlignment="1">
      <alignment horizontal="center" vertical="center" wrapText="1"/>
    </xf>
    <xf numFmtId="164" fontId="34" fillId="10" borderId="4" xfId="1" applyNumberFormat="1" applyFont="1" applyFill="1" applyBorder="1" applyAlignment="1">
      <alignment horizontal="center" vertical="center" wrapText="1"/>
    </xf>
    <xf numFmtId="164" fontId="34" fillId="10" borderId="24" xfId="1" applyNumberFormat="1" applyFont="1" applyFill="1" applyBorder="1" applyAlignment="1">
      <alignment horizontal="center" vertical="center" wrapText="1"/>
    </xf>
    <xf numFmtId="3" fontId="34" fillId="10" borderId="66" xfId="1" applyNumberFormat="1" applyFont="1" applyFill="1" applyBorder="1" applyAlignment="1">
      <alignment horizontal="center" vertical="center" wrapText="1"/>
    </xf>
    <xf numFmtId="3" fontId="33" fillId="10" borderId="77" xfId="1" applyNumberFormat="1" applyFont="1" applyFill="1" applyBorder="1" applyAlignment="1">
      <alignment horizontal="center" vertical="center" wrapText="1"/>
    </xf>
    <xf numFmtId="9" fontId="34" fillId="10" borderId="23" xfId="5" applyFont="1" applyFill="1" applyBorder="1" applyAlignment="1">
      <alignment horizontal="center" vertical="center" wrapText="1"/>
    </xf>
    <xf numFmtId="3" fontId="33" fillId="10" borderId="21" xfId="1" applyNumberFormat="1" applyFont="1" applyFill="1" applyBorder="1" applyAlignment="1">
      <alignment horizontal="center" vertical="center" wrapText="1"/>
    </xf>
    <xf numFmtId="175" fontId="34" fillId="10" borderId="21" xfId="1" applyNumberFormat="1" applyFont="1" applyFill="1" applyBorder="1" applyAlignment="1">
      <alignment horizontal="center" vertical="center" wrapText="1"/>
    </xf>
    <xf numFmtId="9" fontId="34" fillId="10" borderId="21" xfId="5" applyFont="1" applyFill="1" applyBorder="1" applyAlignment="1">
      <alignment horizontal="center" vertical="center" wrapText="1"/>
    </xf>
    <xf numFmtId="174" fontId="34" fillId="10" borderId="24" xfId="1" applyNumberFormat="1" applyFont="1" applyFill="1" applyBorder="1" applyAlignment="1">
      <alignment horizontal="center" vertical="center" wrapText="1"/>
    </xf>
    <xf numFmtId="3" fontId="33" fillId="10" borderId="66" xfId="1" applyNumberFormat="1" applyFont="1" applyFill="1" applyBorder="1" applyAlignment="1">
      <alignment horizontal="center" vertical="center" wrapText="1"/>
    </xf>
    <xf numFmtId="174" fontId="34" fillId="10" borderId="64" xfId="1" applyNumberFormat="1" applyFont="1" applyFill="1" applyBorder="1" applyAlignment="1">
      <alignment horizontal="center" vertical="center" wrapText="1"/>
    </xf>
    <xf numFmtId="166" fontId="34" fillId="10" borderId="65" xfId="5" applyNumberFormat="1" applyFont="1" applyFill="1" applyBorder="1" applyAlignment="1">
      <alignment horizontal="center" vertical="center" wrapText="1"/>
    </xf>
    <xf numFmtId="166" fontId="11" fillId="0" borderId="8" xfId="5" applyNumberFormat="1" applyFont="1" applyFill="1" applyBorder="1" applyAlignment="1">
      <alignment horizontal="center" vertical="center" wrapText="1"/>
    </xf>
    <xf numFmtId="175" fontId="17" fillId="0" borderId="1" xfId="2" applyNumberFormat="1" applyFont="1" applyFill="1" applyBorder="1" applyAlignment="1" applyProtection="1">
      <alignment horizontal="center" vertical="center" wrapText="1"/>
    </xf>
    <xf numFmtId="175" fontId="17" fillId="0" borderId="13" xfId="2" applyNumberFormat="1" applyFont="1" applyFill="1" applyBorder="1" applyAlignment="1" applyProtection="1">
      <alignment horizontal="center" vertical="center" wrapText="1"/>
    </xf>
    <xf numFmtId="175" fontId="17" fillId="0" borderId="50" xfId="2" applyNumberFormat="1" applyFont="1" applyFill="1" applyBorder="1" applyAlignment="1" applyProtection="1">
      <alignment horizontal="center" vertical="center" wrapText="1"/>
    </xf>
    <xf numFmtId="168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9" fontId="11" fillId="0" borderId="0" xfId="5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10" fontId="11" fillId="0" borderId="0" xfId="5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3" fontId="11" fillId="0" borderId="72" xfId="1" applyNumberFormat="1" applyFont="1" applyBorder="1" applyAlignment="1">
      <alignment horizontal="center" vertical="center" wrapText="1"/>
    </xf>
    <xf numFmtId="3" fontId="16" fillId="2" borderId="17" xfId="1" applyNumberFormat="1" applyFont="1" applyFill="1" applyBorder="1" applyAlignment="1">
      <alignment horizontal="center" vertical="center"/>
    </xf>
    <xf numFmtId="3" fontId="11" fillId="0" borderId="6" xfId="1" applyNumberFormat="1" applyFont="1" applyBorder="1" applyAlignment="1">
      <alignment horizontal="center" vertical="center" wrapText="1"/>
    </xf>
    <xf numFmtId="10" fontId="11" fillId="0" borderId="13" xfId="5" applyNumberFormat="1" applyFont="1" applyFill="1" applyBorder="1" applyAlignment="1">
      <alignment horizontal="center" vertical="center" wrapText="1"/>
    </xf>
    <xf numFmtId="10" fontId="11" fillId="0" borderId="1" xfId="5" applyNumberFormat="1" applyFont="1" applyFill="1" applyBorder="1" applyAlignment="1">
      <alignment horizontal="center" vertical="center" wrapText="1"/>
    </xf>
    <xf numFmtId="10" fontId="11" fillId="0" borderId="32" xfId="5" applyNumberFormat="1" applyFont="1" applyFill="1" applyBorder="1" applyAlignment="1">
      <alignment horizontal="center" vertical="center" wrapText="1"/>
    </xf>
    <xf numFmtId="10" fontId="11" fillId="0" borderId="10" xfId="5" applyNumberFormat="1" applyFont="1" applyFill="1" applyBorder="1" applyAlignment="1">
      <alignment horizontal="center" vertical="center" wrapText="1"/>
    </xf>
    <xf numFmtId="10" fontId="34" fillId="4" borderId="64" xfId="5" applyNumberFormat="1" applyFont="1" applyFill="1" applyBorder="1" applyAlignment="1">
      <alignment horizontal="center" vertical="center" wrapText="1"/>
    </xf>
    <xf numFmtId="10" fontId="14" fillId="3" borderId="11" xfId="5" applyNumberFormat="1" applyFont="1" applyFill="1" applyBorder="1" applyAlignment="1">
      <alignment horizontal="center" vertical="center" wrapText="1"/>
    </xf>
    <xf numFmtId="10" fontId="16" fillId="2" borderId="17" xfId="5" applyNumberFormat="1" applyFont="1" applyFill="1" applyBorder="1" applyAlignment="1">
      <alignment vertical="center"/>
    </xf>
    <xf numFmtId="10" fontId="16" fillId="2" borderId="17" xfId="5" applyNumberFormat="1" applyFont="1" applyFill="1" applyBorder="1" applyAlignment="1">
      <alignment horizontal="center" vertical="center"/>
    </xf>
    <xf numFmtId="10" fontId="28" fillId="0" borderId="1" xfId="5" applyNumberFormat="1" applyFont="1" applyFill="1" applyBorder="1" applyAlignment="1">
      <alignment horizontal="center" vertical="center" wrapText="1"/>
    </xf>
    <xf numFmtId="10" fontId="11" fillId="0" borderId="3" xfId="5" applyNumberFormat="1" applyFont="1" applyFill="1" applyBorder="1" applyAlignment="1">
      <alignment horizontal="center" vertical="center" wrapText="1"/>
    </xf>
    <xf numFmtId="10" fontId="11" fillId="0" borderId="20" xfId="5" applyNumberFormat="1" applyFont="1" applyFill="1" applyBorder="1" applyAlignment="1">
      <alignment horizontal="center" vertical="center" wrapText="1"/>
    </xf>
    <xf numFmtId="10" fontId="34" fillId="10" borderId="64" xfId="5" applyNumberFormat="1" applyFont="1" applyFill="1" applyBorder="1" applyAlignment="1">
      <alignment horizontal="center" vertical="center" wrapText="1"/>
    </xf>
    <xf numFmtId="10" fontId="19" fillId="0" borderId="0" xfId="5" applyNumberFormat="1" applyFont="1" applyAlignment="1"/>
    <xf numFmtId="10" fontId="11" fillId="0" borderId="0" xfId="5" applyNumberFormat="1" applyFont="1" applyFill="1" applyAlignment="1">
      <alignment horizontal="center" vertical="center"/>
    </xf>
    <xf numFmtId="10" fontId="11" fillId="0" borderId="0" xfId="5" applyNumberFormat="1" applyFont="1" applyFill="1"/>
    <xf numFmtId="10" fontId="11" fillId="0" borderId="50" xfId="5" applyNumberFormat="1" applyFont="1" applyFill="1" applyBorder="1" applyAlignment="1">
      <alignment horizontal="center" vertical="center" wrapText="1"/>
    </xf>
    <xf numFmtId="10" fontId="11" fillId="0" borderId="36" xfId="5" applyNumberFormat="1" applyFont="1" applyFill="1" applyBorder="1" applyAlignment="1">
      <alignment horizontal="center" vertical="center" wrapText="1"/>
    </xf>
    <xf numFmtId="168" fontId="23" fillId="0" borderId="12" xfId="1" applyNumberFormat="1" applyFont="1" applyBorder="1" applyAlignment="1">
      <alignment horizontal="right" vertical="center" wrapText="1"/>
    </xf>
    <xf numFmtId="164" fontId="37" fillId="12" borderId="5" xfId="1" applyNumberFormat="1" applyFont="1" applyFill="1" applyBorder="1" applyAlignment="1">
      <alignment horizontal="center" vertical="center" wrapText="1"/>
    </xf>
    <xf numFmtId="168" fontId="37" fillId="12" borderId="18" xfId="1" applyNumberFormat="1" applyFont="1" applyFill="1" applyBorder="1" applyAlignment="1">
      <alignment horizontal="right" vertical="center" wrapText="1"/>
    </xf>
    <xf numFmtId="0" fontId="17" fillId="0" borderId="14" xfId="1" applyFont="1" applyBorder="1" applyAlignment="1">
      <alignment horizontal="center" vertical="center"/>
    </xf>
    <xf numFmtId="3" fontId="17" fillId="0" borderId="12" xfId="1" applyNumberFormat="1" applyFont="1" applyBorder="1" applyAlignment="1">
      <alignment horizontal="center" vertical="center" wrapText="1"/>
    </xf>
    <xf numFmtId="3" fontId="17" fillId="0" borderId="14" xfId="1" applyNumberFormat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3" fontId="17" fillId="0" borderId="8" xfId="1" applyNumberFormat="1" applyFont="1" applyBorder="1" applyAlignment="1">
      <alignment horizontal="center" vertical="center" wrapText="1"/>
    </xf>
    <xf numFmtId="3" fontId="17" fillId="0" borderId="9" xfId="1" applyNumberFormat="1" applyFont="1" applyBorder="1" applyAlignment="1">
      <alignment horizontal="center" vertical="center" wrapText="1"/>
    </xf>
    <xf numFmtId="164" fontId="11" fillId="0" borderId="50" xfId="1" applyNumberFormat="1" applyFont="1" applyBorder="1" applyAlignment="1">
      <alignment horizontal="center" vertical="center" wrapText="1"/>
    </xf>
    <xf numFmtId="164" fontId="11" fillId="0" borderId="51" xfId="1" applyNumberFormat="1" applyFont="1" applyBorder="1" applyAlignment="1">
      <alignment horizontal="center" vertical="center" wrapText="1"/>
    </xf>
    <xf numFmtId="164" fontId="11" fillId="0" borderId="49" xfId="1" applyNumberFormat="1" applyFont="1" applyBorder="1" applyAlignment="1">
      <alignment horizontal="center" vertical="center" wrapText="1"/>
    </xf>
    <xf numFmtId="3" fontId="17" fillId="0" borderId="51" xfId="1" applyNumberFormat="1" applyFont="1" applyBorder="1" applyAlignment="1">
      <alignment horizontal="center" vertical="center" wrapText="1"/>
    </xf>
    <xf numFmtId="3" fontId="17" fillId="0" borderId="49" xfId="1" applyNumberFormat="1" applyFont="1" applyBorder="1" applyAlignment="1">
      <alignment horizontal="center" vertical="center" wrapText="1"/>
    </xf>
    <xf numFmtId="9" fontId="11" fillId="0" borderId="31" xfId="5" applyFont="1" applyFill="1" applyBorder="1" applyAlignment="1">
      <alignment horizontal="center" vertical="center" wrapText="1"/>
    </xf>
    <xf numFmtId="9" fontId="34" fillId="4" borderId="63" xfId="5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26" fillId="0" borderId="3" xfId="1" applyFont="1" applyBorder="1" applyAlignment="1">
      <alignment horizontal="center" vertical="center" wrapText="1"/>
    </xf>
    <xf numFmtId="9" fontId="11" fillId="0" borderId="22" xfId="5" applyFont="1" applyFill="1" applyBorder="1" applyAlignment="1">
      <alignment horizontal="center" vertical="center" wrapText="1"/>
    </xf>
    <xf numFmtId="175" fontId="11" fillId="0" borderId="3" xfId="5" applyNumberFormat="1" applyFont="1" applyFill="1" applyBorder="1" applyAlignment="1">
      <alignment horizontal="center" vertical="center" wrapText="1"/>
    </xf>
    <xf numFmtId="174" fontId="11" fillId="0" borderId="27" xfId="1" applyNumberFormat="1" applyFont="1" applyBorder="1" applyAlignment="1">
      <alignment horizontal="center" vertical="center" wrapText="1"/>
    </xf>
    <xf numFmtId="9" fontId="11" fillId="0" borderId="79" xfId="5" applyFont="1" applyFill="1" applyBorder="1" applyAlignment="1">
      <alignment horizontal="center" vertical="center" wrapText="1"/>
    </xf>
    <xf numFmtId="9" fontId="11" fillId="0" borderId="29" xfId="5" applyFont="1" applyFill="1" applyBorder="1" applyAlignment="1">
      <alignment horizontal="center" vertical="center" wrapText="1"/>
    </xf>
    <xf numFmtId="3" fontId="17" fillId="0" borderId="20" xfId="2" applyNumberFormat="1" applyFont="1" applyFill="1" applyBorder="1" applyAlignment="1" applyProtection="1">
      <alignment horizontal="center" vertical="center" wrapText="1"/>
    </xf>
    <xf numFmtId="164" fontId="11" fillId="0" borderId="20" xfId="1" applyNumberFormat="1" applyFont="1" applyBorder="1" applyAlignment="1">
      <alignment horizontal="center" vertical="center" wrapText="1"/>
    </xf>
    <xf numFmtId="164" fontId="11" fillId="0" borderId="29" xfId="1" applyNumberFormat="1" applyFont="1" applyBorder="1" applyAlignment="1">
      <alignment horizontal="center" vertical="center" wrapText="1"/>
    </xf>
    <xf numFmtId="164" fontId="11" fillId="0" borderId="74" xfId="1" applyNumberFormat="1" applyFont="1" applyBorder="1" applyAlignment="1">
      <alignment horizontal="center" vertical="center" wrapText="1"/>
    </xf>
    <xf numFmtId="3" fontId="17" fillId="0" borderId="80" xfId="1" applyNumberFormat="1" applyFont="1" applyBorder="1" applyAlignment="1">
      <alignment horizontal="center" vertical="center" wrapText="1"/>
    </xf>
    <xf numFmtId="3" fontId="17" fillId="0" borderId="76" xfId="1" applyNumberFormat="1" applyFont="1" applyBorder="1" applyAlignment="1">
      <alignment horizontal="center" vertical="center" wrapText="1"/>
    </xf>
    <xf numFmtId="3" fontId="17" fillId="0" borderId="20" xfId="1" applyNumberFormat="1" applyFont="1" applyBorder="1" applyAlignment="1">
      <alignment horizontal="center" vertical="center" wrapText="1"/>
    </xf>
    <xf numFmtId="175" fontId="11" fillId="0" borderId="20" xfId="5" applyNumberFormat="1" applyFont="1" applyFill="1" applyBorder="1" applyAlignment="1">
      <alignment horizontal="center" vertical="center" wrapText="1"/>
    </xf>
    <xf numFmtId="9" fontId="11" fillId="0" borderId="20" xfId="5" applyFont="1" applyFill="1" applyBorder="1" applyAlignment="1">
      <alignment horizontal="center" vertical="center" wrapText="1"/>
    </xf>
    <xf numFmtId="174" fontId="11" fillId="0" borderId="74" xfId="1" applyNumberFormat="1" applyFont="1" applyBorder="1" applyAlignment="1">
      <alignment horizontal="center" vertical="center" wrapText="1"/>
    </xf>
    <xf numFmtId="3" fontId="11" fillId="0" borderId="80" xfId="1" applyNumberFormat="1" applyFont="1" applyBorder="1" applyAlignment="1">
      <alignment horizontal="center" vertical="center" wrapText="1"/>
    </xf>
    <xf numFmtId="174" fontId="11" fillId="0" borderId="20" xfId="1" applyNumberFormat="1" applyFont="1" applyBorder="1" applyAlignment="1">
      <alignment horizontal="center" vertical="center" wrapText="1"/>
    </xf>
    <xf numFmtId="9" fontId="11" fillId="0" borderId="81" xfId="5" applyFont="1" applyFill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wrapText="1"/>
    </xf>
    <xf numFmtId="0" fontId="16" fillId="0" borderId="20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175" fontId="17" fillId="0" borderId="20" xfId="2" applyNumberFormat="1" applyFont="1" applyFill="1" applyBorder="1" applyAlignment="1" applyProtection="1">
      <alignment horizontal="center" vertical="center" wrapText="1"/>
    </xf>
    <xf numFmtId="3" fontId="17" fillId="0" borderId="29" xfId="1" applyNumberFormat="1" applyFont="1" applyBorder="1" applyAlignment="1">
      <alignment horizontal="center" vertical="center" wrapText="1"/>
    </xf>
    <xf numFmtId="3" fontId="17" fillId="0" borderId="74" xfId="1" applyNumberFormat="1" applyFont="1" applyBorder="1" applyAlignment="1">
      <alignment horizontal="center" vertical="center" wrapText="1"/>
    </xf>
    <xf numFmtId="9" fontId="11" fillId="0" borderId="82" xfId="5" applyFont="1" applyFill="1" applyBorder="1" applyAlignment="1">
      <alignment horizontal="center" vertical="center" wrapText="1"/>
    </xf>
    <xf numFmtId="175" fontId="17" fillId="0" borderId="10" xfId="2" applyNumberFormat="1" applyFont="1" applyFill="1" applyBorder="1" applyAlignment="1" applyProtection="1">
      <alignment horizontal="center" vertical="center" wrapText="1"/>
    </xf>
    <xf numFmtId="3" fontId="17" fillId="0" borderId="18" xfId="1" applyNumberFormat="1" applyFont="1" applyBorder="1" applyAlignment="1">
      <alignment horizontal="center" vertical="center" wrapText="1"/>
    </xf>
    <xf numFmtId="3" fontId="17" fillId="0" borderId="5" xfId="1" applyNumberFormat="1" applyFont="1" applyBorder="1" applyAlignment="1">
      <alignment horizontal="center" vertical="center" wrapText="1"/>
    </xf>
    <xf numFmtId="175" fontId="11" fillId="0" borderId="3" xfId="1" applyNumberFormat="1" applyFont="1" applyBorder="1" applyAlignment="1">
      <alignment horizontal="center" vertical="center" wrapText="1"/>
    </xf>
    <xf numFmtId="9" fontId="11" fillId="0" borderId="83" xfId="5" applyFont="1" applyFill="1" applyBorder="1" applyAlignment="1">
      <alignment horizontal="center" vertical="center" wrapText="1"/>
    </xf>
    <xf numFmtId="9" fontId="11" fillId="0" borderId="14" xfId="5" applyFont="1" applyFill="1" applyBorder="1" applyAlignment="1">
      <alignment horizontal="center" vertical="center" wrapText="1"/>
    </xf>
    <xf numFmtId="9" fontId="11" fillId="0" borderId="9" xfId="5" applyFont="1" applyFill="1" applyBorder="1" applyAlignment="1">
      <alignment horizontal="center" vertical="center" wrapText="1"/>
    </xf>
    <xf numFmtId="164" fontId="17" fillId="0" borderId="36" xfId="2" applyNumberFormat="1" applyFont="1" applyFill="1" applyBorder="1" applyAlignment="1" applyProtection="1">
      <alignment horizontal="center" vertical="center" wrapText="1"/>
    </xf>
    <xf numFmtId="3" fontId="17" fillId="0" borderId="35" xfId="1" applyNumberFormat="1" applyFont="1" applyBorder="1" applyAlignment="1">
      <alignment horizontal="center" vertical="center" wrapText="1"/>
    </xf>
    <xf numFmtId="3" fontId="17" fillId="0" borderId="68" xfId="1" applyNumberFormat="1" applyFont="1" applyBorder="1" applyAlignment="1">
      <alignment horizontal="center" vertical="center" wrapText="1"/>
    </xf>
    <xf numFmtId="9" fontId="11" fillId="0" borderId="37" xfId="5" applyFont="1" applyFill="1" applyBorder="1" applyAlignment="1">
      <alignment horizontal="center" vertical="center" wrapText="1"/>
    </xf>
    <xf numFmtId="9" fontId="11" fillId="0" borderId="73" xfId="5" applyFont="1" applyFill="1" applyBorder="1" applyAlignment="1">
      <alignment horizontal="center" vertical="center" wrapText="1"/>
    </xf>
    <xf numFmtId="175" fontId="11" fillId="0" borderId="20" xfId="1" applyNumberFormat="1" applyFont="1" applyBorder="1" applyAlignment="1">
      <alignment horizontal="center" vertical="center" wrapText="1"/>
    </xf>
    <xf numFmtId="9" fontId="11" fillId="0" borderId="33" xfId="5" applyFont="1" applyFill="1" applyBorder="1" applyAlignment="1">
      <alignment horizontal="center" vertical="center" wrapText="1"/>
    </xf>
    <xf numFmtId="9" fontId="11" fillId="0" borderId="5" xfId="5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64" fontId="11" fillId="0" borderId="84" xfId="1" applyNumberFormat="1" applyFont="1" applyBorder="1" applyAlignment="1">
      <alignment horizontal="center" vertical="center" wrapText="1"/>
    </xf>
    <xf numFmtId="3" fontId="17" fillId="0" borderId="32" xfId="1" applyNumberFormat="1" applyFont="1" applyBorder="1" applyAlignment="1">
      <alignment horizontal="center" vertical="center" wrapText="1"/>
    </xf>
    <xf numFmtId="9" fontId="11" fillId="0" borderId="1" xfId="5" applyFont="1" applyFill="1" applyBorder="1" applyAlignment="1">
      <alignment horizontal="center" vertical="center" wrapText="1"/>
    </xf>
    <xf numFmtId="9" fontId="11" fillId="0" borderId="10" xfId="5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9" fontId="11" fillId="0" borderId="13" xfId="5" applyFont="1" applyFill="1" applyBorder="1" applyAlignment="1">
      <alignment horizontal="center" vertical="center" wrapText="1"/>
    </xf>
    <xf numFmtId="3" fontId="17" fillId="0" borderId="10" xfId="1" applyNumberFormat="1" applyFont="1" applyBorder="1" applyAlignment="1">
      <alignment horizontal="center" vertical="center" wrapText="1"/>
    </xf>
    <xf numFmtId="3" fontId="17" fillId="0" borderId="1" xfId="1" applyNumberFormat="1" applyFont="1" applyBorder="1" applyAlignment="1">
      <alignment horizontal="center" vertical="center" wrapText="1"/>
    </xf>
    <xf numFmtId="3" fontId="17" fillId="0" borderId="13" xfId="1" applyNumberFormat="1" applyFont="1" applyBorder="1" applyAlignment="1">
      <alignment horizontal="center" vertical="center" wrapText="1"/>
    </xf>
    <xf numFmtId="9" fontId="11" fillId="0" borderId="32" xfId="5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3" fontId="17" fillId="0" borderId="3" xfId="1" applyNumberFormat="1" applyFont="1" applyBorder="1" applyAlignment="1">
      <alignment horizontal="center" vertical="center" wrapText="1"/>
    </xf>
    <xf numFmtId="9" fontId="11" fillId="0" borderId="3" xfId="5" applyFont="1" applyFill="1" applyBorder="1" applyAlignment="1">
      <alignment horizontal="center" vertical="center" wrapText="1"/>
    </xf>
    <xf numFmtId="0" fontId="42" fillId="13" borderId="86" xfId="1" applyFont="1" applyFill="1" applyBorder="1" applyAlignment="1">
      <alignment horizontal="center" vertical="center" wrapText="1"/>
    </xf>
    <xf numFmtId="0" fontId="42" fillId="13" borderId="42" xfId="1" applyFont="1" applyFill="1" applyBorder="1" applyAlignment="1">
      <alignment horizontal="center" vertical="center" wrapText="1"/>
    </xf>
    <xf numFmtId="0" fontId="42" fillId="13" borderId="43" xfId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64" fontId="11" fillId="0" borderId="36" xfId="0" applyNumberFormat="1" applyFont="1" applyBorder="1" applyAlignment="1">
      <alignment horizontal="center" vertical="center"/>
    </xf>
    <xf numFmtId="3" fontId="7" fillId="8" borderId="19" xfId="11" applyNumberFormat="1" applyFill="1" applyBorder="1" applyAlignment="1">
      <alignment horizontal="center" vertical="center"/>
    </xf>
    <xf numFmtId="173" fontId="7" fillId="8" borderId="19" xfId="12" applyNumberFormat="1" applyFill="1" applyBorder="1" applyAlignment="1">
      <alignment horizontal="center" vertical="center"/>
    </xf>
    <xf numFmtId="9" fontId="32" fillId="0" borderId="19" xfId="13" applyFont="1" applyBorder="1" applyAlignment="1">
      <alignment horizontal="center" vertical="center"/>
    </xf>
    <xf numFmtId="9" fontId="7" fillId="8" borderId="19" xfId="5" applyFont="1" applyFill="1" applyBorder="1" applyAlignment="1">
      <alignment horizontal="center" vertical="center"/>
    </xf>
    <xf numFmtId="9" fontId="7" fillId="8" borderId="45" xfId="5" applyFont="1" applyFill="1" applyBorder="1" applyAlignment="1">
      <alignment horizontal="center" vertical="center"/>
    </xf>
    <xf numFmtId="172" fontId="7" fillId="0" borderId="29" xfId="12" applyNumberFormat="1" applyBorder="1" applyAlignment="1">
      <alignment horizontal="center" vertical="center"/>
    </xf>
    <xf numFmtId="3" fontId="7" fillId="8" borderId="29" xfId="11" applyNumberFormat="1" applyFill="1" applyBorder="1" applyAlignment="1">
      <alignment horizontal="center" vertical="center"/>
    </xf>
    <xf numFmtId="173" fontId="7" fillId="8" borderId="29" xfId="12" applyNumberFormat="1" applyFill="1" applyBorder="1" applyAlignment="1">
      <alignment horizontal="center" vertical="center"/>
    </xf>
    <xf numFmtId="9" fontId="32" fillId="0" borderId="29" xfId="13" applyFont="1" applyBorder="1" applyAlignment="1">
      <alignment horizontal="center" vertical="center"/>
    </xf>
    <xf numFmtId="9" fontId="7" fillId="8" borderId="29" xfId="5" applyFont="1" applyFill="1" applyBorder="1" applyAlignment="1">
      <alignment horizontal="center" vertical="center"/>
    </xf>
    <xf numFmtId="9" fontId="7" fillId="8" borderId="31" xfId="5" applyFont="1" applyFill="1" applyBorder="1" applyAlignment="1">
      <alignment horizontal="center" vertical="center"/>
    </xf>
    <xf numFmtId="172" fontId="7" fillId="0" borderId="20" xfId="12" applyNumberFormat="1" applyBorder="1" applyAlignment="1">
      <alignment horizontal="center" vertical="center"/>
    </xf>
    <xf numFmtId="3" fontId="7" fillId="8" borderId="20" xfId="11" applyNumberFormat="1" applyFill="1" applyBorder="1" applyAlignment="1">
      <alignment horizontal="center" vertical="center"/>
    </xf>
    <xf numFmtId="173" fontId="7" fillId="8" borderId="20" xfId="12" applyNumberFormat="1" applyFill="1" applyBorder="1" applyAlignment="1">
      <alignment horizontal="center" vertical="center"/>
    </xf>
    <xf numFmtId="9" fontId="32" fillId="0" borderId="20" xfId="13" applyFont="1" applyBorder="1" applyAlignment="1">
      <alignment horizontal="center" vertical="center"/>
    </xf>
    <xf numFmtId="9" fontId="7" fillId="8" borderId="20" xfId="5" applyFont="1" applyFill="1" applyBorder="1" applyAlignment="1">
      <alignment horizontal="center" vertical="center"/>
    </xf>
    <xf numFmtId="9" fontId="7" fillId="8" borderId="36" xfId="5" applyFont="1" applyFill="1" applyBorder="1" applyAlignment="1">
      <alignment horizontal="center" vertical="center"/>
    </xf>
    <xf numFmtId="9" fontId="32" fillId="0" borderId="20" xfId="13" applyFont="1" applyFill="1" applyBorder="1" applyAlignment="1">
      <alignment horizontal="center" vertical="center"/>
    </xf>
    <xf numFmtId="173" fontId="7" fillId="8" borderId="45" xfId="12" applyNumberFormat="1" applyFill="1" applyBorder="1" applyAlignment="1">
      <alignment horizontal="center" vertical="center"/>
    </xf>
    <xf numFmtId="173" fontId="7" fillId="8" borderId="36" xfId="12" applyNumberFormat="1" applyFill="1" applyBorder="1" applyAlignment="1">
      <alignment horizontal="center" vertical="center"/>
    </xf>
    <xf numFmtId="173" fontId="7" fillId="0" borderId="7" xfId="12" applyNumberFormat="1" applyBorder="1" applyAlignment="1">
      <alignment horizontal="center" vertical="center"/>
    </xf>
    <xf numFmtId="173" fontId="7" fillId="0" borderId="43" xfId="12" applyNumberFormat="1" applyBorder="1" applyAlignment="1">
      <alignment horizontal="center" vertical="center"/>
    </xf>
    <xf numFmtId="173" fontId="7" fillId="0" borderId="30" xfId="12" applyNumberFormat="1" applyBorder="1" applyAlignment="1">
      <alignment horizontal="center" vertical="center"/>
    </xf>
    <xf numFmtId="173" fontId="7" fillId="8" borderId="31" xfId="12" applyNumberFormat="1" applyFill="1" applyBorder="1" applyAlignment="1">
      <alignment horizontal="center" vertical="center"/>
    </xf>
    <xf numFmtId="172" fontId="7" fillId="0" borderId="30" xfId="12" applyNumberForma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174" fontId="11" fillId="0" borderId="1" xfId="1" applyNumberFormat="1" applyFont="1" applyBorder="1" applyAlignment="1">
      <alignment horizontal="center" vertical="center" wrapText="1"/>
    </xf>
    <xf numFmtId="174" fontId="11" fillId="0" borderId="13" xfId="1" applyNumberFormat="1" applyFont="1" applyBorder="1" applyAlignment="1">
      <alignment horizontal="center" vertical="center" wrapText="1"/>
    </xf>
    <xf numFmtId="174" fontId="11" fillId="0" borderId="10" xfId="1" applyNumberFormat="1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4" fontId="0" fillId="0" borderId="0" xfId="0" applyNumberFormat="1"/>
    <xf numFmtId="0" fontId="31" fillId="0" borderId="86" xfId="11" applyFont="1" applyBorder="1" applyAlignment="1">
      <alignment vertical="center"/>
    </xf>
    <xf numFmtId="0" fontId="7" fillId="8" borderId="85" xfId="11" applyFill="1" applyBorder="1" applyAlignment="1">
      <alignment vertical="center"/>
    </xf>
    <xf numFmtId="0" fontId="32" fillId="0" borderId="85" xfId="11" applyFont="1" applyBorder="1" applyAlignment="1">
      <alignment vertical="center"/>
    </xf>
    <xf numFmtId="0" fontId="7" fillId="8" borderId="78" xfId="11" applyFill="1" applyBorder="1" applyAlignment="1">
      <alignment vertical="center"/>
    </xf>
    <xf numFmtId="9" fontId="12" fillId="0" borderId="39" xfId="5" applyFont="1" applyBorder="1" applyAlignment="1">
      <alignment horizontal="center" vertical="center"/>
    </xf>
    <xf numFmtId="9" fontId="12" fillId="0" borderId="38" xfId="5" applyFont="1" applyBorder="1" applyAlignment="1">
      <alignment horizontal="center" vertical="center"/>
    </xf>
    <xf numFmtId="9" fontId="12" fillId="0" borderId="68" xfId="5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43" fillId="0" borderId="14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43" fillId="0" borderId="5" xfId="0" applyNumberFormat="1" applyFont="1" applyBorder="1" applyAlignment="1">
      <alignment horizontal="center" vertical="center"/>
    </xf>
    <xf numFmtId="0" fontId="44" fillId="13" borderId="43" xfId="1" applyFont="1" applyFill="1" applyBorder="1" applyAlignment="1">
      <alignment horizontal="center" vertical="center" wrapText="1"/>
    </xf>
    <xf numFmtId="164" fontId="37" fillId="5" borderId="28" xfId="1" applyNumberFormat="1" applyFont="1" applyFill="1" applyBorder="1" applyAlignment="1">
      <alignment horizontal="right" vertical="center" wrapText="1"/>
    </xf>
    <xf numFmtId="164" fontId="37" fillId="5" borderId="33" xfId="1" applyNumberFormat="1" applyFont="1" applyFill="1" applyBorder="1" applyAlignment="1">
      <alignment horizontal="center" vertical="center" wrapText="1"/>
    </xf>
    <xf numFmtId="9" fontId="32" fillId="0" borderId="0" xfId="13" applyFont="1" applyFill="1" applyBorder="1" applyAlignment="1">
      <alignment horizontal="center" vertical="center"/>
    </xf>
    <xf numFmtId="0" fontId="31" fillId="0" borderId="0" xfId="11" applyFont="1" applyAlignment="1">
      <alignment horizontal="center" vertical="center"/>
    </xf>
    <xf numFmtId="0" fontId="31" fillId="0" borderId="0" xfId="11" applyFont="1" applyAlignment="1">
      <alignment horizontal="center"/>
    </xf>
    <xf numFmtId="173" fontId="7" fillId="0" borderId="0" xfId="12" applyNumberFormat="1" applyFill="1" applyBorder="1" applyAlignment="1">
      <alignment horizontal="center" vertical="center"/>
    </xf>
    <xf numFmtId="3" fontId="7" fillId="0" borderId="0" xfId="11" applyNumberFormat="1" applyAlignment="1">
      <alignment horizontal="center" vertical="center"/>
    </xf>
    <xf numFmtId="9" fontId="7" fillId="0" borderId="0" xfId="5" applyFont="1" applyFill="1" applyBorder="1" applyAlignment="1">
      <alignment horizontal="center" vertical="center"/>
    </xf>
    <xf numFmtId="0" fontId="0" fillId="15" borderId="0" xfId="0" applyFill="1"/>
    <xf numFmtId="0" fontId="31" fillId="15" borderId="0" xfId="11" applyFon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31" fillId="15" borderId="0" xfId="11" applyFont="1" applyFill="1" applyAlignment="1">
      <alignment horizontal="center"/>
    </xf>
    <xf numFmtId="172" fontId="7" fillId="15" borderId="0" xfId="12" applyNumberFormat="1" applyFill="1" applyBorder="1" applyAlignment="1">
      <alignment horizontal="center" vertical="center"/>
    </xf>
    <xf numFmtId="3" fontId="7" fillId="15" borderId="0" xfId="11" applyNumberFormat="1" applyFill="1" applyAlignment="1">
      <alignment horizontal="center" vertical="center"/>
    </xf>
    <xf numFmtId="173" fontId="7" fillId="15" borderId="0" xfId="12" applyNumberFormat="1" applyFill="1" applyBorder="1" applyAlignment="1">
      <alignment horizontal="center" vertical="center"/>
    </xf>
    <xf numFmtId="9" fontId="32" fillId="15" borderId="0" xfId="13" applyFont="1" applyFill="1" applyBorder="1" applyAlignment="1">
      <alignment horizontal="center" vertical="center"/>
    </xf>
    <xf numFmtId="9" fontId="7" fillId="15" borderId="0" xfId="5" applyFont="1" applyFill="1" applyBorder="1" applyAlignment="1">
      <alignment horizontal="center" vertical="center"/>
    </xf>
    <xf numFmtId="9" fontId="7" fillId="15" borderId="0" xfId="5" applyFont="1" applyFill="1" applyBorder="1" applyAlignment="1">
      <alignment horizontal="left" vertical="center"/>
    </xf>
    <xf numFmtId="172" fontId="7" fillId="0" borderId="0" xfId="12" applyNumberFormat="1" applyFill="1" applyBorder="1" applyAlignment="1">
      <alignment horizontal="center" vertical="center"/>
    </xf>
    <xf numFmtId="9" fontId="0" fillId="0" borderId="0" xfId="5" applyFont="1" applyFill="1"/>
    <xf numFmtId="4" fontId="0" fillId="15" borderId="0" xfId="0" applyNumberFormat="1" applyFill="1" applyAlignment="1">
      <alignment horizontal="left" vertical="center"/>
    </xf>
    <xf numFmtId="16" fontId="11" fillId="0" borderId="0" xfId="0" applyNumberFormat="1" applyFont="1"/>
    <xf numFmtId="0" fontId="0" fillId="0" borderId="0" xfId="0" applyAlignment="1">
      <alignment horizontal="center" vertical="center"/>
    </xf>
    <xf numFmtId="3" fontId="17" fillId="0" borderId="50" xfId="1" applyNumberFormat="1" applyFont="1" applyBorder="1" applyAlignment="1">
      <alignment horizontal="center" vertical="center" wrapText="1"/>
    </xf>
    <xf numFmtId="175" fontId="11" fillId="0" borderId="50" xfId="1" applyNumberFormat="1" applyFont="1" applyBorder="1" applyAlignment="1">
      <alignment horizontal="center" vertical="center" wrapText="1"/>
    </xf>
    <xf numFmtId="174" fontId="11" fillId="0" borderId="49" xfId="1" applyNumberFormat="1" applyFont="1" applyBorder="1" applyAlignment="1">
      <alignment horizontal="center" vertical="center" wrapText="1"/>
    </xf>
    <xf numFmtId="3" fontId="11" fillId="0" borderId="52" xfId="1" applyNumberFormat="1" applyFont="1" applyBorder="1" applyAlignment="1">
      <alignment horizontal="center" vertical="center" wrapText="1"/>
    </xf>
    <xf numFmtId="174" fontId="11" fillId="0" borderId="50" xfId="1" applyNumberFormat="1" applyFont="1" applyBorder="1" applyAlignment="1">
      <alignment horizontal="center" vertical="center" wrapText="1"/>
    </xf>
    <xf numFmtId="0" fontId="45" fillId="8" borderId="30" xfId="67" applyFont="1" applyFill="1" applyBorder="1" applyAlignment="1">
      <alignment horizontal="center" vertical="center" wrapText="1"/>
    </xf>
    <xf numFmtId="0" fontId="45" fillId="8" borderId="84" xfId="67" applyFont="1" applyFill="1" applyBorder="1" applyAlignment="1">
      <alignment horizontal="center" vertical="center" wrapText="1"/>
    </xf>
    <xf numFmtId="3" fontId="46" fillId="0" borderId="12" xfId="68" applyNumberFormat="1" applyFont="1" applyBorder="1" applyAlignment="1" applyProtection="1">
      <alignment horizontal="center" vertical="center"/>
      <protection locked="0"/>
    </xf>
    <xf numFmtId="3" fontId="46" fillId="0" borderId="14" xfId="68" applyNumberFormat="1" applyFont="1" applyBorder="1" applyAlignment="1" applyProtection="1">
      <alignment horizontal="center" vertical="center"/>
      <protection locked="0"/>
    </xf>
    <xf numFmtId="3" fontId="46" fillId="0" borderId="8" xfId="68" applyNumberFormat="1" applyFont="1" applyBorder="1" applyAlignment="1" applyProtection="1">
      <alignment horizontal="center" vertical="center"/>
      <protection locked="0"/>
    </xf>
    <xf numFmtId="3" fontId="46" fillId="0" borderId="9" xfId="68" applyNumberFormat="1" applyFont="1" applyBorder="1" applyAlignment="1" applyProtection="1">
      <alignment horizontal="center" vertical="center"/>
      <protection locked="0"/>
    </xf>
    <xf numFmtId="0" fontId="16" fillId="2" borderId="2" xfId="1" applyFont="1" applyFill="1" applyBorder="1" applyAlignment="1">
      <alignment vertical="center"/>
    </xf>
    <xf numFmtId="3" fontId="46" fillId="0" borderId="18" xfId="68" applyNumberFormat="1" applyFont="1" applyBorder="1" applyAlignment="1" applyProtection="1">
      <alignment horizontal="center" vertical="center"/>
      <protection locked="0"/>
    </xf>
    <xf numFmtId="3" fontId="46" fillId="0" borderId="5" xfId="68" applyNumberFormat="1" applyFont="1" applyBorder="1" applyAlignment="1" applyProtection="1">
      <alignment horizontal="center" vertical="center"/>
      <protection locked="0"/>
    </xf>
    <xf numFmtId="3" fontId="46" fillId="0" borderId="28" xfId="68" applyNumberFormat="1" applyFont="1" applyBorder="1" applyAlignment="1" applyProtection="1">
      <alignment horizontal="center" vertical="center"/>
      <protection locked="0"/>
    </xf>
    <xf numFmtId="3" fontId="46" fillId="0" borderId="33" xfId="68" applyNumberFormat="1" applyFont="1" applyBorder="1" applyAlignment="1" applyProtection="1">
      <alignment horizontal="center" vertical="center"/>
      <protection locked="0"/>
    </xf>
    <xf numFmtId="166" fontId="34" fillId="4" borderId="2" xfId="5" applyNumberFormat="1" applyFont="1" applyFill="1" applyBorder="1" applyAlignment="1">
      <alignment horizontal="center" vertical="center" wrapText="1"/>
    </xf>
    <xf numFmtId="9" fontId="34" fillId="4" borderId="4" xfId="5" applyFont="1" applyFill="1" applyBorder="1" applyAlignment="1">
      <alignment horizontal="center" vertical="center" wrapText="1"/>
    </xf>
    <xf numFmtId="166" fontId="34" fillId="10" borderId="2" xfId="5" applyNumberFormat="1" applyFont="1" applyFill="1" applyBorder="1" applyAlignment="1">
      <alignment horizontal="center" vertical="center" wrapText="1"/>
    </xf>
    <xf numFmtId="9" fontId="34" fillId="10" borderId="4" xfId="5" applyFont="1" applyFill="1" applyBorder="1" applyAlignment="1">
      <alignment horizontal="center" vertical="center" wrapText="1"/>
    </xf>
    <xf numFmtId="0" fontId="31" fillId="0" borderId="87" xfId="11" applyFont="1" applyBorder="1" applyAlignment="1">
      <alignment horizontal="center"/>
    </xf>
    <xf numFmtId="173" fontId="7" fillId="0" borderId="88" xfId="12" applyNumberFormat="1" applyBorder="1" applyAlignment="1">
      <alignment horizontal="center" vertical="center"/>
    </xf>
    <xf numFmtId="3" fontId="7" fillId="8" borderId="80" xfId="11" applyNumberFormat="1" applyFill="1" applyBorder="1" applyAlignment="1">
      <alignment horizontal="center" vertical="center"/>
    </xf>
    <xf numFmtId="173" fontId="7" fillId="8" borderId="80" xfId="12" applyNumberFormat="1" applyFill="1" applyBorder="1" applyAlignment="1">
      <alignment horizontal="center" vertical="center"/>
    </xf>
    <xf numFmtId="9" fontId="32" fillId="0" borderId="80" xfId="13" applyFont="1" applyBorder="1" applyAlignment="1">
      <alignment horizontal="center" vertical="center"/>
    </xf>
    <xf numFmtId="9" fontId="7" fillId="8" borderId="80" xfId="5" applyFont="1" applyFill="1" applyBorder="1" applyAlignment="1">
      <alignment horizontal="center" vertical="center"/>
    </xf>
    <xf numFmtId="173" fontId="7" fillId="8" borderId="35" xfId="12" applyNumberFormat="1" applyFill="1" applyBorder="1" applyAlignment="1">
      <alignment horizontal="center" vertical="center"/>
    </xf>
    <xf numFmtId="172" fontId="7" fillId="0" borderId="88" xfId="12" applyNumberFormat="1" applyBorder="1" applyAlignment="1">
      <alignment horizontal="center" vertical="center"/>
    </xf>
    <xf numFmtId="9" fontId="32" fillId="0" borderId="29" xfId="13" applyFont="1" applyFill="1" applyBorder="1" applyAlignment="1">
      <alignment horizontal="center" vertical="center"/>
    </xf>
    <xf numFmtId="172" fontId="7" fillId="0" borderId="80" xfId="12" applyNumberFormat="1" applyBorder="1" applyAlignment="1">
      <alignment horizontal="center" vertical="center"/>
    </xf>
    <xf numFmtId="9" fontId="7" fillId="8" borderId="35" xfId="5" applyFont="1" applyFill="1" applyBorder="1" applyAlignment="1">
      <alignment horizontal="center" vertical="center"/>
    </xf>
    <xf numFmtId="173" fontId="7" fillId="0" borderId="42" xfId="12" applyNumberFormat="1" applyBorder="1" applyAlignment="1">
      <alignment horizontal="center" vertical="center"/>
    </xf>
    <xf numFmtId="3" fontId="7" fillId="8" borderId="0" xfId="11" applyNumberFormat="1" applyFill="1" applyAlignment="1">
      <alignment horizontal="center" vertical="center"/>
    </xf>
    <xf numFmtId="173" fontId="7" fillId="8" borderId="0" xfId="12" applyNumberFormat="1" applyFill="1" applyBorder="1" applyAlignment="1">
      <alignment horizontal="center" vertical="center"/>
    </xf>
    <xf numFmtId="9" fontId="32" fillId="0" borderId="0" xfId="13" applyFont="1" applyBorder="1" applyAlignment="1">
      <alignment horizontal="center" vertical="center"/>
    </xf>
    <xf numFmtId="9" fontId="7" fillId="8" borderId="0" xfId="5" applyFont="1" applyFill="1" applyBorder="1" applyAlignment="1">
      <alignment horizontal="center" vertical="center"/>
    </xf>
    <xf numFmtId="173" fontId="7" fillId="8" borderId="44" xfId="12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7" fillId="0" borderId="80" xfId="12" applyNumberForma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4" fontId="0" fillId="15" borderId="0" xfId="0" applyNumberFormat="1" applyFill="1" applyAlignment="1">
      <alignment horizontal="center" vertical="center"/>
    </xf>
    <xf numFmtId="9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11" fillId="0" borderId="0" xfId="5" applyFont="1" applyBorder="1" applyAlignment="1">
      <alignment horizontal="center" vertical="center"/>
    </xf>
    <xf numFmtId="176" fontId="11" fillId="0" borderId="0" xfId="10" applyNumberFormat="1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92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93" xfId="0" applyFont="1" applyBorder="1" applyAlignment="1">
      <alignment horizontal="center" vertical="center"/>
    </xf>
    <xf numFmtId="2" fontId="53" fillId="20" borderId="12" xfId="0" applyNumberFormat="1" applyFont="1" applyFill="1" applyBorder="1" applyAlignment="1">
      <alignment horizontal="center" vertical="center" wrapText="1"/>
    </xf>
    <xf numFmtId="3" fontId="53" fillId="20" borderId="13" xfId="0" applyNumberFormat="1" applyFont="1" applyFill="1" applyBorder="1" applyAlignment="1">
      <alignment horizontal="center" vertical="center" wrapText="1"/>
    </xf>
    <xf numFmtId="1" fontId="47" fillId="16" borderId="34" xfId="0" applyNumberFormat="1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 wrapText="1"/>
    </xf>
    <xf numFmtId="1" fontId="53" fillId="16" borderId="13" xfId="0" applyNumberFormat="1" applyFont="1" applyFill="1" applyBorder="1" applyAlignment="1">
      <alignment horizontal="center" vertical="center" wrapText="1"/>
    </xf>
    <xf numFmtId="0" fontId="53" fillId="5" borderId="13" xfId="0" applyFont="1" applyFill="1" applyBorder="1" applyAlignment="1">
      <alignment horizontal="center" vertical="center" wrapText="1"/>
    </xf>
    <xf numFmtId="0" fontId="53" fillId="5" borderId="14" xfId="0" applyFont="1" applyFill="1" applyBorder="1" applyAlignment="1">
      <alignment horizontal="center" vertical="center" wrapText="1"/>
    </xf>
    <xf numFmtId="0" fontId="53" fillId="5" borderId="39" xfId="0" applyFont="1" applyFill="1" applyBorder="1" applyAlignment="1">
      <alignment horizontal="center" vertical="center" wrapText="1"/>
    </xf>
    <xf numFmtId="0" fontId="53" fillId="0" borderId="34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5" borderId="34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horizontal="center" vertical="center" wrapText="1"/>
    </xf>
    <xf numFmtId="2" fontId="53" fillId="0" borderId="94" xfId="0" applyNumberFormat="1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92" xfId="0" applyFont="1" applyBorder="1" applyAlignment="1">
      <alignment horizontal="center" vertical="center" wrapText="1"/>
    </xf>
    <xf numFmtId="0" fontId="47" fillId="21" borderId="73" xfId="0" applyFont="1" applyFill="1" applyBorder="1" applyAlignment="1">
      <alignment horizontal="center" vertical="center"/>
    </xf>
    <xf numFmtId="0" fontId="47" fillId="21" borderId="8" xfId="0" applyFont="1" applyFill="1" applyBorder="1" applyAlignment="1">
      <alignment horizontal="center" vertical="center"/>
    </xf>
    <xf numFmtId="0" fontId="47" fillId="21" borderId="95" xfId="0" applyFont="1" applyFill="1" applyBorder="1" applyAlignment="1">
      <alignment horizontal="center" vertical="center"/>
    </xf>
    <xf numFmtId="176" fontId="47" fillId="21" borderId="8" xfId="0" applyNumberFormat="1" applyFont="1" applyFill="1" applyBorder="1" applyAlignment="1">
      <alignment horizontal="center" vertical="center"/>
    </xf>
    <xf numFmtId="3" fontId="47" fillId="21" borderId="1" xfId="0" applyNumberFormat="1" applyFont="1" applyFill="1" applyBorder="1" applyAlignment="1">
      <alignment horizontal="center" vertical="center"/>
    </xf>
    <xf numFmtId="176" fontId="47" fillId="21" borderId="1" xfId="0" applyNumberFormat="1" applyFont="1" applyFill="1" applyBorder="1" applyAlignment="1">
      <alignment horizontal="center" vertical="center"/>
    </xf>
    <xf numFmtId="3" fontId="47" fillId="21" borderId="46" xfId="0" applyNumberFormat="1" applyFont="1" applyFill="1" applyBorder="1" applyAlignment="1">
      <alignment horizontal="center" vertical="center"/>
    </xf>
    <xf numFmtId="9" fontId="47" fillId="21" borderId="1" xfId="5" applyFont="1" applyFill="1" applyBorder="1" applyAlignment="1">
      <alignment horizontal="center" vertical="center"/>
    </xf>
    <xf numFmtId="9" fontId="47" fillId="21" borderId="1" xfId="0" applyNumberFormat="1" applyFont="1" applyFill="1" applyBorder="1" applyAlignment="1">
      <alignment horizontal="center" vertical="center"/>
    </xf>
    <xf numFmtId="176" fontId="47" fillId="21" borderId="9" xfId="0" applyNumberFormat="1" applyFont="1" applyFill="1" applyBorder="1" applyAlignment="1">
      <alignment horizontal="center" vertical="center"/>
    </xf>
    <xf numFmtId="176" fontId="47" fillId="21" borderId="38" xfId="0" applyNumberFormat="1" applyFont="1" applyFill="1" applyBorder="1" applyAlignment="1">
      <alignment horizontal="center" vertical="center"/>
    </xf>
    <xf numFmtId="9" fontId="47" fillId="21" borderId="46" xfId="0" applyNumberFormat="1" applyFont="1" applyFill="1" applyBorder="1" applyAlignment="1">
      <alignment horizontal="center" vertical="center"/>
    </xf>
    <xf numFmtId="9" fontId="47" fillId="21" borderId="70" xfId="0" applyNumberFormat="1" applyFont="1" applyFill="1" applyBorder="1" applyAlignment="1">
      <alignment horizontal="center" vertical="center"/>
    </xf>
    <xf numFmtId="177" fontId="47" fillId="21" borderId="96" xfId="0" applyNumberFormat="1" applyFont="1" applyFill="1" applyBorder="1" applyAlignment="1">
      <alignment horizontal="center" vertical="center"/>
    </xf>
    <xf numFmtId="9" fontId="47" fillId="21" borderId="46" xfId="5" applyFont="1" applyFill="1" applyBorder="1" applyAlignment="1">
      <alignment horizontal="center" vertical="center"/>
    </xf>
    <xf numFmtId="1" fontId="47" fillId="21" borderId="1" xfId="0" applyNumberFormat="1" applyFont="1" applyFill="1" applyBorder="1" applyAlignment="1">
      <alignment horizontal="center" vertical="center"/>
    </xf>
    <xf numFmtId="0" fontId="47" fillId="22" borderId="8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horizontal="center" vertical="center"/>
    </xf>
    <xf numFmtId="0" fontId="47" fillId="22" borderId="86" xfId="0" applyFont="1" applyFill="1" applyBorder="1" applyAlignment="1">
      <alignment horizontal="center" vertical="center"/>
    </xf>
    <xf numFmtId="176" fontId="55" fillId="22" borderId="30" xfId="0" applyNumberFormat="1" applyFont="1" applyFill="1" applyBorder="1" applyAlignment="1">
      <alignment horizontal="center" vertical="center"/>
    </xf>
    <xf numFmtId="3" fontId="55" fillId="22" borderId="7" xfId="0" applyNumberFormat="1" applyFont="1" applyFill="1" applyBorder="1" applyAlignment="1">
      <alignment horizontal="center" vertical="center"/>
    </xf>
    <xf numFmtId="176" fontId="55" fillId="22" borderId="7" xfId="0" applyNumberFormat="1" applyFont="1" applyFill="1" applyBorder="1" applyAlignment="1">
      <alignment horizontal="center" vertical="center"/>
    </xf>
    <xf numFmtId="3" fontId="55" fillId="22" borderId="88" xfId="0" applyNumberFormat="1" applyFont="1" applyFill="1" applyBorder="1" applyAlignment="1">
      <alignment horizontal="center" vertical="center"/>
    </xf>
    <xf numFmtId="9" fontId="55" fillId="22" borderId="88" xfId="5" applyFont="1" applyFill="1" applyBorder="1" applyAlignment="1">
      <alignment horizontal="center" vertical="center"/>
    </xf>
    <xf numFmtId="9" fontId="53" fillId="22" borderId="7" xfId="5" applyFont="1" applyFill="1" applyBorder="1" applyAlignment="1">
      <alignment horizontal="center" vertical="center"/>
    </xf>
    <xf numFmtId="176" fontId="47" fillId="22" borderId="7" xfId="0" applyNumberFormat="1" applyFont="1" applyFill="1" applyBorder="1" applyAlignment="1">
      <alignment horizontal="center" vertical="center"/>
    </xf>
    <xf numFmtId="9" fontId="47" fillId="22" borderId="7" xfId="0" applyNumberFormat="1" applyFont="1" applyFill="1" applyBorder="1" applyAlignment="1">
      <alignment horizontal="center" vertical="center"/>
    </xf>
    <xf numFmtId="176" fontId="47" fillId="22" borderId="84" xfId="0" applyNumberFormat="1" applyFont="1" applyFill="1" applyBorder="1" applyAlignment="1">
      <alignment horizontal="center" vertical="center"/>
    </xf>
    <xf numFmtId="176" fontId="47" fillId="22" borderId="97" xfId="0" applyNumberFormat="1" applyFont="1" applyFill="1" applyBorder="1" applyAlignment="1">
      <alignment horizontal="center" vertical="center"/>
    </xf>
    <xf numFmtId="9" fontId="47" fillId="22" borderId="88" xfId="0" applyNumberFormat="1" applyFont="1" applyFill="1" applyBorder="1" applyAlignment="1">
      <alignment horizontal="center" vertical="center"/>
    </xf>
    <xf numFmtId="9" fontId="47" fillId="22" borderId="89" xfId="0" applyNumberFormat="1" applyFont="1" applyFill="1" applyBorder="1" applyAlignment="1">
      <alignment horizontal="center" vertical="center"/>
    </xf>
    <xf numFmtId="177" fontId="47" fillId="22" borderId="43" xfId="0" applyNumberFormat="1" applyFont="1" applyFill="1" applyBorder="1" applyAlignment="1">
      <alignment horizontal="center" vertical="center"/>
    </xf>
    <xf numFmtId="0" fontId="52" fillId="0" borderId="86" xfId="0" applyFont="1" applyBorder="1" applyAlignment="1">
      <alignment horizontal="left" vertical="center" wrapText="1"/>
    </xf>
    <xf numFmtId="0" fontId="52" fillId="0" borderId="43" xfId="0" applyFont="1" applyBorder="1" applyAlignment="1">
      <alignment horizontal="left" vertical="center" wrapText="1"/>
    </xf>
    <xf numFmtId="0" fontId="47" fillId="22" borderId="71" xfId="0" applyFont="1" applyFill="1" applyBorder="1" applyAlignment="1">
      <alignment horizontal="center" vertical="center"/>
    </xf>
    <xf numFmtId="0" fontId="47" fillId="22" borderId="18" xfId="0" applyFont="1" applyFill="1" applyBorder="1" applyAlignment="1">
      <alignment horizontal="center" vertical="center"/>
    </xf>
    <xf numFmtId="0" fontId="47" fillId="22" borderId="98" xfId="0" applyFont="1" applyFill="1" applyBorder="1" applyAlignment="1">
      <alignment horizontal="center" vertical="center"/>
    </xf>
    <xf numFmtId="176" fontId="55" fillId="22" borderId="18" xfId="0" applyNumberFormat="1" applyFont="1" applyFill="1" applyBorder="1" applyAlignment="1">
      <alignment horizontal="center" vertical="center"/>
    </xf>
    <xf numFmtId="3" fontId="55" fillId="22" borderId="10" xfId="0" applyNumberFormat="1" applyFont="1" applyFill="1" applyBorder="1" applyAlignment="1">
      <alignment horizontal="center" vertical="center"/>
    </xf>
    <xf numFmtId="176" fontId="55" fillId="22" borderId="10" xfId="0" applyNumberFormat="1" applyFont="1" applyFill="1" applyBorder="1" applyAlignment="1">
      <alignment horizontal="center" vertical="center"/>
    </xf>
    <xf numFmtId="3" fontId="55" fillId="22" borderId="72" xfId="0" applyNumberFormat="1" applyFont="1" applyFill="1" applyBorder="1" applyAlignment="1">
      <alignment horizontal="center" vertical="center"/>
    </xf>
    <xf numFmtId="9" fontId="55" fillId="22" borderId="72" xfId="5" applyFont="1" applyFill="1" applyBorder="1" applyAlignment="1">
      <alignment horizontal="center" vertical="center"/>
    </xf>
    <xf numFmtId="9" fontId="53" fillId="22" borderId="10" xfId="5" applyFont="1" applyFill="1" applyBorder="1" applyAlignment="1">
      <alignment horizontal="center" vertical="center"/>
    </xf>
    <xf numFmtId="176" fontId="47" fillId="22" borderId="10" xfId="0" applyNumberFormat="1" applyFont="1" applyFill="1" applyBorder="1" applyAlignment="1">
      <alignment horizontal="center" vertical="center"/>
    </xf>
    <xf numFmtId="9" fontId="47" fillId="22" borderId="10" xfId="0" applyNumberFormat="1" applyFont="1" applyFill="1" applyBorder="1" applyAlignment="1">
      <alignment horizontal="center" vertical="center"/>
    </xf>
    <xf numFmtId="176" fontId="47" fillId="22" borderId="5" xfId="0" applyNumberFormat="1" applyFont="1" applyFill="1" applyBorder="1" applyAlignment="1">
      <alignment horizontal="center" vertical="center"/>
    </xf>
    <xf numFmtId="176" fontId="47" fillId="22" borderId="40" xfId="0" applyNumberFormat="1" applyFont="1" applyFill="1" applyBorder="1" applyAlignment="1">
      <alignment horizontal="center" vertical="center"/>
    </xf>
    <xf numFmtId="9" fontId="47" fillId="22" borderId="72" xfId="0" applyNumberFormat="1" applyFont="1" applyFill="1" applyBorder="1" applyAlignment="1">
      <alignment horizontal="center" vertical="center"/>
    </xf>
    <xf numFmtId="9" fontId="47" fillId="22" borderId="71" xfId="0" applyNumberFormat="1" applyFont="1" applyFill="1" applyBorder="1" applyAlignment="1">
      <alignment horizontal="center" vertical="center"/>
    </xf>
    <xf numFmtId="177" fontId="47" fillId="22" borderId="99" xfId="0" applyNumberFormat="1" applyFont="1" applyFill="1" applyBorder="1" applyAlignment="1">
      <alignment horizontal="center" vertical="center"/>
    </xf>
    <xf numFmtId="0" fontId="52" fillId="0" borderId="98" xfId="0" applyFont="1" applyBorder="1" applyAlignment="1">
      <alignment horizontal="left" vertical="center" wrapText="1"/>
    </xf>
    <xf numFmtId="0" fontId="52" fillId="0" borderId="99" xfId="0" applyFont="1" applyBorder="1" applyAlignment="1">
      <alignment horizontal="left" vertical="center" wrapText="1"/>
    </xf>
    <xf numFmtId="0" fontId="47" fillId="23" borderId="8" xfId="0" applyFont="1" applyFill="1" applyBorder="1" applyAlignment="1">
      <alignment vertical="center"/>
    </xf>
    <xf numFmtId="0" fontId="47" fillId="23" borderId="95" xfId="0" applyFont="1" applyFill="1" applyBorder="1" applyAlignment="1">
      <alignment vertical="center"/>
    </xf>
    <xf numFmtId="176" fontId="0" fillId="23" borderId="8" xfId="0" applyNumberFormat="1" applyFill="1" applyBorder="1" applyAlignment="1">
      <alignment horizontal="center" vertical="center"/>
    </xf>
    <xf numFmtId="3" fontId="0" fillId="23" borderId="1" xfId="0" applyNumberFormat="1" applyFill="1" applyBorder="1" applyAlignment="1">
      <alignment horizontal="center" vertical="center"/>
    </xf>
    <xf numFmtId="176" fontId="0" fillId="23" borderId="1" xfId="0" applyNumberFormat="1" applyFill="1" applyBorder="1" applyAlignment="1">
      <alignment horizontal="center" vertical="center"/>
    </xf>
    <xf numFmtId="3" fontId="48" fillId="23" borderId="46" xfId="0" applyNumberFormat="1" applyFont="1" applyFill="1" applyBorder="1" applyAlignment="1">
      <alignment horizontal="center" vertical="center"/>
    </xf>
    <xf numFmtId="9" fontId="48" fillId="23" borderId="46" xfId="5" applyFont="1" applyFill="1" applyBorder="1" applyAlignment="1">
      <alignment horizontal="center" vertical="center"/>
    </xf>
    <xf numFmtId="9" fontId="0" fillId="23" borderId="1" xfId="5" applyFont="1" applyFill="1" applyBorder="1" applyAlignment="1">
      <alignment horizontal="center" vertical="center"/>
    </xf>
    <xf numFmtId="176" fontId="48" fillId="23" borderId="1" xfId="0" applyNumberFormat="1" applyFont="1" applyFill="1" applyBorder="1" applyAlignment="1">
      <alignment horizontal="center" vertical="center"/>
    </xf>
    <xf numFmtId="176" fontId="0" fillId="23" borderId="9" xfId="0" applyNumberFormat="1" applyFill="1" applyBorder="1" applyAlignment="1">
      <alignment horizontal="center" vertical="center"/>
    </xf>
    <xf numFmtId="176" fontId="0" fillId="23" borderId="38" xfId="0" applyNumberFormat="1" applyFill="1" applyBorder="1" applyAlignment="1">
      <alignment horizontal="center" vertical="center"/>
    </xf>
    <xf numFmtId="176" fontId="48" fillId="23" borderId="8" xfId="0" applyNumberFormat="1" applyFont="1" applyFill="1" applyBorder="1" applyAlignment="1">
      <alignment horizontal="center" vertical="center"/>
    </xf>
    <xf numFmtId="3" fontId="48" fillId="23" borderId="1" xfId="0" applyNumberFormat="1" applyFont="1" applyFill="1" applyBorder="1" applyAlignment="1">
      <alignment horizontal="center" vertical="center"/>
    </xf>
    <xf numFmtId="0" fontId="48" fillId="23" borderId="1" xfId="69" applyFont="1" applyFill="1" applyBorder="1" applyAlignment="1">
      <alignment horizontal="center" vertical="center"/>
    </xf>
    <xf numFmtId="9" fontId="48" fillId="23" borderId="1" xfId="69" applyNumberFormat="1" applyFont="1" applyFill="1" applyBorder="1" applyAlignment="1">
      <alignment horizontal="center" vertical="center"/>
    </xf>
    <xf numFmtId="9" fontId="48" fillId="23" borderId="46" xfId="69" applyNumberFormat="1" applyFont="1" applyFill="1" applyBorder="1" applyAlignment="1">
      <alignment horizontal="center" vertical="center"/>
    </xf>
    <xf numFmtId="9" fontId="0" fillId="23" borderId="70" xfId="0" applyNumberFormat="1" applyFill="1" applyBorder="1" applyAlignment="1">
      <alignment horizontal="center" vertical="center"/>
    </xf>
    <xf numFmtId="177" fontId="0" fillId="23" borderId="96" xfId="0" applyNumberFormat="1" applyFill="1" applyBorder="1" applyAlignment="1">
      <alignment horizontal="center" vertical="center"/>
    </xf>
    <xf numFmtId="0" fontId="52" fillId="0" borderId="100" xfId="0" applyFont="1" applyBorder="1" applyAlignment="1">
      <alignment vertical="center"/>
    </xf>
    <xf numFmtId="0" fontId="52" fillId="0" borderId="83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9" fontId="0" fillId="0" borderId="46" xfId="5" applyFont="1" applyFill="1" applyBorder="1" applyAlignment="1">
      <alignment horizontal="center" vertical="center"/>
    </xf>
    <xf numFmtId="9" fontId="0" fillId="0" borderId="1" xfId="5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176" fontId="48" fillId="0" borderId="8" xfId="0" applyNumberFormat="1" applyFont="1" applyBorder="1" applyAlignment="1">
      <alignment horizontal="center" vertical="center"/>
    </xf>
    <xf numFmtId="3" fontId="48" fillId="0" borderId="1" xfId="0" applyNumberFormat="1" applyFont="1" applyBorder="1" applyAlignment="1">
      <alignment horizontal="center" vertical="center"/>
    </xf>
    <xf numFmtId="1" fontId="48" fillId="0" borderId="1" xfId="0" applyNumberFormat="1" applyFont="1" applyBorder="1" applyAlignment="1">
      <alignment horizontal="center" vertical="center"/>
    </xf>
    <xf numFmtId="9" fontId="48" fillId="0" borderId="1" xfId="0" applyNumberFormat="1" applyFont="1" applyBorder="1" applyAlignment="1">
      <alignment horizontal="center" vertical="center"/>
    </xf>
    <xf numFmtId="9" fontId="48" fillId="0" borderId="46" xfId="0" applyNumberFormat="1" applyFont="1" applyBorder="1" applyAlignment="1">
      <alignment horizontal="center" vertical="center"/>
    </xf>
    <xf numFmtId="9" fontId="0" fillId="0" borderId="70" xfId="0" applyNumberFormat="1" applyBorder="1" applyAlignment="1">
      <alignment horizontal="center" vertical="center"/>
    </xf>
    <xf numFmtId="177" fontId="0" fillId="0" borderId="96" xfId="0" applyNumberFormat="1" applyBorder="1" applyAlignment="1">
      <alignment horizontal="center" vertical="center"/>
    </xf>
    <xf numFmtId="0" fontId="52" fillId="0" borderId="101" xfId="0" applyFont="1" applyBorder="1" applyAlignment="1">
      <alignment vertical="center"/>
    </xf>
    <xf numFmtId="0" fontId="52" fillId="0" borderId="70" xfId="0" applyFont="1" applyBorder="1" applyAlignment="1">
      <alignment vertical="center"/>
    </xf>
    <xf numFmtId="3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52" fillId="0" borderId="101" xfId="0" applyFont="1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9" fontId="48" fillId="0" borderId="32" xfId="0" applyNumberFormat="1" applyFont="1" applyBorder="1" applyAlignment="1">
      <alignment horizontal="center" vertical="center"/>
    </xf>
    <xf numFmtId="9" fontId="0" fillId="0" borderId="73" xfId="0" applyNumberFormat="1" applyBorder="1" applyAlignment="1">
      <alignment horizontal="center" vertical="center"/>
    </xf>
    <xf numFmtId="0" fontId="52" fillId="0" borderId="70" xfId="0" applyFont="1" applyBorder="1" applyAlignment="1">
      <alignment vertical="center" wrapText="1"/>
    </xf>
    <xf numFmtId="177" fontId="0" fillId="15" borderId="96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56" fillId="23" borderId="1" xfId="5" applyFont="1" applyFill="1" applyBorder="1" applyAlignment="1">
      <alignment horizontal="center" vertical="center"/>
    </xf>
    <xf numFmtId="0" fontId="47" fillId="6" borderId="92" xfId="0" applyFont="1" applyFill="1" applyBorder="1" applyAlignment="1">
      <alignment horizontal="center" vertical="center"/>
    </xf>
    <xf numFmtId="0" fontId="47" fillId="6" borderId="17" xfId="0" applyFont="1" applyFill="1" applyBorder="1" applyAlignment="1">
      <alignment horizontal="center" vertical="center"/>
    </xf>
    <xf numFmtId="176" fontId="47" fillId="6" borderId="23" xfId="0" applyNumberFormat="1" applyFont="1" applyFill="1" applyBorder="1" applyAlignment="1">
      <alignment horizontal="center" vertical="center"/>
    </xf>
    <xf numFmtId="3" fontId="47" fillId="6" borderId="21" xfId="0" applyNumberFormat="1" applyFont="1" applyFill="1" applyBorder="1" applyAlignment="1">
      <alignment horizontal="center" vertical="center"/>
    </xf>
    <xf numFmtId="176" fontId="47" fillId="6" borderId="21" xfId="0" applyNumberFormat="1" applyFont="1" applyFill="1" applyBorder="1" applyAlignment="1">
      <alignment horizontal="center" vertical="center"/>
    </xf>
    <xf numFmtId="3" fontId="47" fillId="6" borderId="87" xfId="0" applyNumberFormat="1" applyFont="1" applyFill="1" applyBorder="1" applyAlignment="1">
      <alignment horizontal="center" vertical="center"/>
    </xf>
    <xf numFmtId="9" fontId="47" fillId="6" borderId="87" xfId="5" applyFont="1" applyFill="1" applyBorder="1" applyAlignment="1">
      <alignment horizontal="center" vertical="center"/>
    </xf>
    <xf numFmtId="9" fontId="47" fillId="6" borderId="21" xfId="5" applyFont="1" applyFill="1" applyBorder="1" applyAlignment="1">
      <alignment horizontal="center" vertical="center"/>
    </xf>
    <xf numFmtId="9" fontId="47" fillId="6" borderId="21" xfId="0" applyNumberFormat="1" applyFont="1" applyFill="1" applyBorder="1" applyAlignment="1">
      <alignment horizontal="center" vertical="center"/>
    </xf>
    <xf numFmtId="176" fontId="47" fillId="6" borderId="24" xfId="0" applyNumberFormat="1" applyFont="1" applyFill="1" applyBorder="1" applyAlignment="1">
      <alignment horizontal="center" vertical="center"/>
    </xf>
    <xf numFmtId="176" fontId="47" fillId="6" borderId="103" xfId="0" applyNumberFormat="1" applyFont="1" applyFill="1" applyBorder="1" applyAlignment="1">
      <alignment horizontal="center" vertical="center"/>
    </xf>
    <xf numFmtId="9" fontId="47" fillId="6" borderId="87" xfId="0" applyNumberFormat="1" applyFont="1" applyFill="1" applyBorder="1" applyAlignment="1">
      <alignment horizontal="center" vertical="center"/>
    </xf>
    <xf numFmtId="0" fontId="57" fillId="0" borderId="104" xfId="0" applyFont="1" applyBorder="1"/>
    <xf numFmtId="0" fontId="52" fillId="0" borderId="71" xfId="0" applyFont="1" applyBorder="1"/>
    <xf numFmtId="3" fontId="0" fillId="0" borderId="0" xfId="0" applyNumberFormat="1"/>
    <xf numFmtId="10" fontId="0" fillId="0" borderId="0" xfId="5" applyNumberFormat="1" applyFont="1"/>
    <xf numFmtId="10" fontId="0" fillId="0" borderId="0" xfId="0" applyNumberFormat="1"/>
    <xf numFmtId="0" fontId="53" fillId="0" borderId="12" xfId="0" applyFont="1" applyBorder="1" applyAlignment="1">
      <alignment horizontal="center" vertical="center" wrapText="1"/>
    </xf>
    <xf numFmtId="0" fontId="53" fillId="5" borderId="94" xfId="0" applyFont="1" applyFill="1" applyBorder="1" applyAlignment="1">
      <alignment horizontal="center" vertical="center" wrapText="1"/>
    </xf>
    <xf numFmtId="2" fontId="53" fillId="0" borderId="14" xfId="0" applyNumberFormat="1" applyFont="1" applyBorder="1" applyAlignment="1">
      <alignment horizontal="center" vertical="center" wrapText="1"/>
    </xf>
    <xf numFmtId="178" fontId="47" fillId="21" borderId="1" xfId="0" applyNumberFormat="1" applyFont="1" applyFill="1" applyBorder="1" applyAlignment="1">
      <alignment horizontal="center" vertical="center"/>
    </xf>
    <xf numFmtId="9" fontId="47" fillId="21" borderId="8" xfId="0" applyNumberFormat="1" applyFont="1" applyFill="1" applyBorder="1" applyAlignment="1">
      <alignment horizontal="center" vertical="center"/>
    </xf>
    <xf numFmtId="9" fontId="47" fillId="21" borderId="96" xfId="0" applyNumberFormat="1" applyFont="1" applyFill="1" applyBorder="1" applyAlignment="1">
      <alignment horizontal="center" vertical="center"/>
    </xf>
    <xf numFmtId="2" fontId="47" fillId="21" borderId="9" xfId="0" applyNumberFormat="1" applyFont="1" applyFill="1" applyBorder="1" applyAlignment="1">
      <alignment horizontal="center" vertical="center"/>
    </xf>
    <xf numFmtId="178" fontId="55" fillId="22" borderId="7" xfId="0" applyNumberFormat="1" applyFont="1" applyFill="1" applyBorder="1" applyAlignment="1">
      <alignment horizontal="center" vertical="center"/>
    </xf>
    <xf numFmtId="178" fontId="47" fillId="22" borderId="7" xfId="0" applyNumberFormat="1" applyFont="1" applyFill="1" applyBorder="1" applyAlignment="1">
      <alignment horizontal="center" vertical="center"/>
    </xf>
    <xf numFmtId="9" fontId="47" fillId="22" borderId="30" xfId="0" applyNumberFormat="1" applyFont="1" applyFill="1" applyBorder="1" applyAlignment="1">
      <alignment horizontal="center" vertical="center"/>
    </xf>
    <xf numFmtId="9" fontId="47" fillId="22" borderId="43" xfId="0" applyNumberFormat="1" applyFont="1" applyFill="1" applyBorder="1" applyAlignment="1">
      <alignment horizontal="center" vertical="center"/>
    </xf>
    <xf numFmtId="177" fontId="47" fillId="22" borderId="84" xfId="0" applyNumberFormat="1" applyFont="1" applyFill="1" applyBorder="1" applyAlignment="1">
      <alignment horizontal="center" vertical="center"/>
    </xf>
    <xf numFmtId="178" fontId="55" fillId="22" borderId="10" xfId="0" applyNumberFormat="1" applyFont="1" applyFill="1" applyBorder="1" applyAlignment="1">
      <alignment horizontal="center" vertical="center"/>
    </xf>
    <xf numFmtId="178" fontId="47" fillId="22" borderId="10" xfId="0" applyNumberFormat="1" applyFont="1" applyFill="1" applyBorder="1" applyAlignment="1">
      <alignment horizontal="center" vertical="center"/>
    </xf>
    <xf numFmtId="9" fontId="47" fillId="22" borderId="18" xfId="0" applyNumberFormat="1" applyFont="1" applyFill="1" applyBorder="1" applyAlignment="1">
      <alignment horizontal="center" vertical="center"/>
    </xf>
    <xf numFmtId="9" fontId="47" fillId="22" borderId="99" xfId="0" applyNumberFormat="1" applyFont="1" applyFill="1" applyBorder="1" applyAlignment="1">
      <alignment horizontal="center" vertical="center"/>
    </xf>
    <xf numFmtId="177" fontId="47" fillId="22" borderId="5" xfId="0" applyNumberFormat="1" applyFont="1" applyFill="1" applyBorder="1" applyAlignment="1">
      <alignment horizontal="center" vertical="center"/>
    </xf>
    <xf numFmtId="178" fontId="0" fillId="23" borderId="1" xfId="0" applyNumberFormat="1" applyFill="1" applyBorder="1" applyAlignment="1">
      <alignment horizontal="center" vertical="center"/>
    </xf>
    <xf numFmtId="178" fontId="48" fillId="23" borderId="1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9" fontId="0" fillId="23" borderId="8" xfId="5" applyFont="1" applyFill="1" applyBorder="1" applyAlignment="1">
      <alignment horizontal="center" vertical="center"/>
    </xf>
    <xf numFmtId="9" fontId="48" fillId="23" borderId="96" xfId="69" applyNumberFormat="1" applyFont="1" applyFill="1" applyBorder="1" applyAlignment="1">
      <alignment horizontal="center" vertical="center"/>
    </xf>
    <xf numFmtId="9" fontId="0" fillId="23" borderId="46" xfId="0" applyNumberFormat="1" applyFill="1" applyBorder="1" applyAlignment="1">
      <alignment horizontal="center" vertical="center"/>
    </xf>
    <xf numFmtId="177" fontId="0" fillId="23" borderId="9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48" fillId="0" borderId="96" xfId="0" applyNumberFormat="1" applyFont="1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32" xfId="0" applyNumberFormat="1" applyBorder="1" applyAlignment="1">
      <alignment horizontal="center" vertical="center"/>
    </xf>
    <xf numFmtId="9" fontId="0" fillId="0" borderId="47" xfId="0" applyNumberFormat="1" applyBorder="1" applyAlignment="1">
      <alignment horizontal="center" vertical="center"/>
    </xf>
    <xf numFmtId="177" fontId="0" fillId="15" borderId="9" xfId="0" applyNumberFormat="1" applyFill="1" applyBorder="1" applyAlignment="1">
      <alignment horizontal="center" vertical="center"/>
    </xf>
    <xf numFmtId="9" fontId="48" fillId="23" borderId="1" xfId="5" applyFont="1" applyFill="1" applyBorder="1" applyAlignment="1">
      <alignment horizontal="center" vertical="center"/>
    </xf>
    <xf numFmtId="178" fontId="47" fillId="6" borderId="21" xfId="0" applyNumberFormat="1" applyFont="1" applyFill="1" applyBorder="1" applyAlignment="1">
      <alignment horizontal="center" vertical="center"/>
    </xf>
    <xf numFmtId="9" fontId="47" fillId="6" borderId="23" xfId="0" applyNumberFormat="1" applyFont="1" applyFill="1" applyBorder="1" applyAlignment="1">
      <alignment horizontal="center" vertical="center"/>
    </xf>
    <xf numFmtId="9" fontId="47" fillId="6" borderId="4" xfId="0" applyNumberFormat="1" applyFont="1" applyFill="1" applyBorder="1" applyAlignment="1">
      <alignment horizontal="center" vertical="center"/>
    </xf>
    <xf numFmtId="177" fontId="47" fillId="6" borderId="24" xfId="0" applyNumberFormat="1" applyFont="1" applyFill="1" applyBorder="1" applyAlignment="1">
      <alignment horizontal="center" vertical="center"/>
    </xf>
    <xf numFmtId="0" fontId="0" fillId="0" borderId="0" xfId="5" applyNumberFormat="1" applyFont="1"/>
    <xf numFmtId="177" fontId="47" fillId="21" borderId="9" xfId="0" applyNumberFormat="1" applyFont="1" applyFill="1" applyBorder="1" applyAlignment="1">
      <alignment horizontal="center" vertical="center"/>
    </xf>
    <xf numFmtId="176" fontId="48" fillId="0" borderId="1" xfId="0" applyNumberFormat="1" applyFont="1" applyBorder="1" applyAlignment="1">
      <alignment horizontal="center" vertical="center"/>
    </xf>
    <xf numFmtId="3" fontId="48" fillId="0" borderId="46" xfId="0" applyNumberFormat="1" applyFont="1" applyBorder="1" applyAlignment="1">
      <alignment horizontal="center" vertical="center"/>
    </xf>
    <xf numFmtId="9" fontId="48" fillId="0" borderId="1" xfId="5" applyFont="1" applyFill="1" applyBorder="1" applyAlignment="1">
      <alignment horizontal="center" vertical="center"/>
    </xf>
    <xf numFmtId="9" fontId="0" fillId="0" borderId="96" xfId="0" applyNumberFormat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0" fontId="50" fillId="0" borderId="89" xfId="0" applyFont="1" applyBorder="1" applyAlignment="1">
      <alignment horizontal="center" vertical="center"/>
    </xf>
    <xf numFmtId="0" fontId="47" fillId="0" borderId="69" xfId="0" applyFont="1" applyBorder="1" applyAlignment="1">
      <alignment horizontal="center" vertical="center"/>
    </xf>
    <xf numFmtId="9" fontId="47" fillId="21" borderId="9" xfId="0" applyNumberFormat="1" applyFont="1" applyFill="1" applyBorder="1" applyAlignment="1">
      <alignment horizontal="center" vertical="center"/>
    </xf>
    <xf numFmtId="0" fontId="47" fillId="21" borderId="70" xfId="0" applyFont="1" applyFill="1" applyBorder="1" applyAlignment="1">
      <alignment horizontal="center" vertical="center"/>
    </xf>
    <xf numFmtId="9" fontId="47" fillId="21" borderId="18" xfId="0" applyNumberFormat="1" applyFont="1" applyFill="1" applyBorder="1" applyAlignment="1">
      <alignment horizontal="center" vertical="center"/>
    </xf>
    <xf numFmtId="9" fontId="47" fillId="21" borderId="99" xfId="0" applyNumberFormat="1" applyFont="1" applyFill="1" applyBorder="1" applyAlignment="1">
      <alignment horizontal="center" vertical="center"/>
    </xf>
    <xf numFmtId="0" fontId="52" fillId="0" borderId="4" xfId="0" applyFont="1" applyBorder="1" applyAlignment="1">
      <alignment horizontal="left" vertical="center" wrapText="1"/>
    </xf>
    <xf numFmtId="9" fontId="48" fillId="23" borderId="8" xfId="5" applyFont="1" applyFill="1" applyBorder="1" applyAlignment="1">
      <alignment horizontal="center" vertical="center"/>
    </xf>
    <xf numFmtId="9" fontId="48" fillId="0" borderId="8" xfId="0" applyNumberFormat="1" applyFont="1" applyBorder="1" applyAlignment="1">
      <alignment horizontal="center" vertical="center"/>
    </xf>
    <xf numFmtId="9" fontId="49" fillId="23" borderId="1" xfId="69" applyNumberFormat="1" applyFill="1" applyBorder="1" applyAlignment="1">
      <alignment horizontal="center" vertical="center"/>
    </xf>
    <xf numFmtId="9" fontId="49" fillId="23" borderId="96" xfId="69" applyNumberFormat="1" applyFill="1" applyBorder="1" applyAlignment="1">
      <alignment horizontal="center" vertical="center"/>
    </xf>
    <xf numFmtId="9" fontId="0" fillId="0" borderId="0" xfId="0" applyNumberFormat="1" applyAlignment="1">
      <alignment horizontal="left" vertical="center"/>
    </xf>
    <xf numFmtId="9" fontId="32" fillId="0" borderId="80" xfId="13" applyFont="1" applyFill="1" applyBorder="1" applyAlignment="1">
      <alignment horizontal="center" vertical="center"/>
    </xf>
    <xf numFmtId="44" fontId="1" fillId="0" borderId="0" xfId="9" applyFont="1"/>
    <xf numFmtId="9" fontId="1" fillId="23" borderId="70" xfId="0" applyNumberFormat="1" applyFont="1" applyFill="1" applyBorder="1" applyAlignment="1">
      <alignment horizontal="center" vertical="center"/>
    </xf>
    <xf numFmtId="177" fontId="1" fillId="23" borderId="96" xfId="0" applyNumberFormat="1" applyFont="1" applyFill="1" applyBorder="1" applyAlignment="1">
      <alignment horizontal="center" vertical="center"/>
    </xf>
    <xf numFmtId="173" fontId="7" fillId="8" borderId="29" xfId="12" applyNumberFormat="1" applyFont="1" applyFill="1" applyBorder="1" applyAlignment="1">
      <alignment horizontal="center" vertical="center"/>
    </xf>
    <xf numFmtId="173" fontId="7" fillId="8" borderId="80" xfId="12" applyNumberFormat="1" applyFont="1" applyFill="1" applyBorder="1" applyAlignment="1">
      <alignment horizontal="center" vertical="center"/>
    </xf>
    <xf numFmtId="173" fontId="7" fillId="8" borderId="20" xfId="12" applyNumberFormat="1" applyFont="1" applyFill="1" applyBorder="1" applyAlignment="1">
      <alignment horizontal="center" vertical="center"/>
    </xf>
    <xf numFmtId="173" fontId="7" fillId="8" borderId="19" xfId="12" applyNumberFormat="1" applyFont="1" applyFill="1" applyBorder="1" applyAlignment="1">
      <alignment horizontal="center" vertical="center"/>
    </xf>
    <xf numFmtId="0" fontId="31" fillId="0" borderId="89" xfId="11" applyFont="1" applyBorder="1" applyAlignment="1">
      <alignment vertical="center"/>
    </xf>
    <xf numFmtId="0" fontId="7" fillId="8" borderId="90" xfId="11" applyFill="1" applyBorder="1" applyAlignment="1">
      <alignment vertical="center"/>
    </xf>
    <xf numFmtId="0" fontId="32" fillId="0" borderId="90" xfId="11" applyFont="1" applyBorder="1" applyAlignment="1">
      <alignment vertical="center"/>
    </xf>
    <xf numFmtId="0" fontId="7" fillId="8" borderId="91" xfId="11" applyFill="1" applyBorder="1" applyAlignment="1">
      <alignment vertical="center"/>
    </xf>
    <xf numFmtId="0" fontId="31" fillId="0" borderId="85" xfId="11" applyFont="1" applyBorder="1" applyAlignment="1">
      <alignment vertical="center"/>
    </xf>
    <xf numFmtId="0" fontId="31" fillId="0" borderId="90" xfId="11" applyFont="1" applyBorder="1" applyAlignment="1">
      <alignment vertical="center"/>
    </xf>
    <xf numFmtId="9" fontId="7" fillId="0" borderId="29" xfId="5" applyFont="1" applyBorder="1" applyAlignment="1">
      <alignment horizontal="center" vertical="center"/>
    </xf>
    <xf numFmtId="9" fontId="7" fillId="0" borderId="80" xfId="5" applyFont="1" applyBorder="1" applyAlignment="1">
      <alignment horizontal="center" vertical="center"/>
    </xf>
    <xf numFmtId="9" fontId="7" fillId="0" borderId="20" xfId="5" applyFont="1" applyBorder="1" applyAlignment="1">
      <alignment horizontal="center" vertical="center"/>
    </xf>
    <xf numFmtId="9" fontId="7" fillId="0" borderId="19" xfId="5" applyFont="1" applyBorder="1" applyAlignment="1">
      <alignment horizontal="center" vertical="center"/>
    </xf>
    <xf numFmtId="0" fontId="0" fillId="0" borderId="0" xfId="0" applyFill="1"/>
    <xf numFmtId="0" fontId="31" fillId="0" borderId="30" xfId="11" applyFont="1" applyBorder="1" applyAlignment="1">
      <alignment horizontal="center"/>
    </xf>
    <xf numFmtId="0" fontId="31" fillId="0" borderId="88" xfId="11" applyFont="1" applyBorder="1" applyAlignment="1">
      <alignment horizontal="center"/>
    </xf>
    <xf numFmtId="0" fontId="31" fillId="0" borderId="7" xfId="11" applyFont="1" applyBorder="1" applyAlignment="1">
      <alignment horizontal="center"/>
    </xf>
    <xf numFmtId="0" fontId="31" fillId="7" borderId="43" xfId="11" applyFont="1" applyFill="1" applyBorder="1" applyAlignment="1">
      <alignment horizontal="center"/>
    </xf>
    <xf numFmtId="0" fontId="31" fillId="0" borderId="42" xfId="11" applyFont="1" applyBorder="1" applyAlignment="1">
      <alignment horizontal="center"/>
    </xf>
    <xf numFmtId="0" fontId="7" fillId="0" borderId="2" xfId="11" applyBorder="1"/>
    <xf numFmtId="0" fontId="7" fillId="0" borderId="2" xfId="11" applyFont="1" applyBorder="1"/>
    <xf numFmtId="172" fontId="7" fillId="0" borderId="88" xfId="12" applyNumberFormat="1" applyFont="1" applyBorder="1" applyAlignment="1">
      <alignment horizontal="center" vertical="center"/>
    </xf>
    <xf numFmtId="172" fontId="7" fillId="0" borderId="80" xfId="12" applyNumberFormat="1" applyFont="1" applyBorder="1" applyAlignment="1">
      <alignment horizontal="center" vertical="center"/>
    </xf>
    <xf numFmtId="173" fontId="7" fillId="0" borderId="7" xfId="12" applyNumberFormat="1" applyFont="1" applyBorder="1" applyAlignment="1">
      <alignment horizontal="center" vertical="center"/>
    </xf>
    <xf numFmtId="173" fontId="7" fillId="8" borderId="35" xfId="12" applyNumberFormat="1" applyFont="1" applyFill="1" applyBorder="1" applyAlignment="1">
      <alignment horizontal="center" vertical="center"/>
    </xf>
    <xf numFmtId="173" fontId="7" fillId="0" borderId="88" xfId="12" applyNumberFormat="1" applyFont="1" applyBorder="1" applyAlignment="1">
      <alignment horizontal="center" vertical="center"/>
    </xf>
    <xf numFmtId="173" fontId="7" fillId="8" borderId="36" xfId="12" applyNumberFormat="1" applyFont="1" applyFill="1" applyBorder="1" applyAlignment="1">
      <alignment horizontal="center" vertical="center"/>
    </xf>
    <xf numFmtId="0" fontId="31" fillId="53" borderId="7" xfId="11" applyFont="1" applyFill="1" applyBorder="1" applyAlignment="1">
      <alignment horizontal="center"/>
    </xf>
    <xf numFmtId="0" fontId="31" fillId="53" borderId="87" xfId="11" applyFont="1" applyFill="1" applyBorder="1" applyAlignment="1">
      <alignment horizontal="center"/>
    </xf>
    <xf numFmtId="0" fontId="31" fillId="53" borderId="88" xfId="11" applyFont="1" applyFill="1" applyBorder="1" applyAlignment="1">
      <alignment horizontal="center"/>
    </xf>
    <xf numFmtId="173" fontId="7" fillId="8" borderId="44" xfId="12" applyNumberFormat="1" applyFont="1" applyFill="1" applyBorder="1" applyAlignment="1">
      <alignment horizontal="center" vertical="center"/>
    </xf>
    <xf numFmtId="172" fontId="7" fillId="0" borderId="42" xfId="12" applyNumberFormat="1" applyBorder="1" applyAlignment="1">
      <alignment horizontal="center" vertical="center"/>
    </xf>
    <xf numFmtId="3" fontId="7" fillId="8" borderId="0" xfId="11" applyNumberFormat="1" applyFill="1" applyBorder="1" applyAlignment="1">
      <alignment horizontal="center" vertical="center"/>
    </xf>
    <xf numFmtId="172" fontId="7" fillId="0" borderId="20" xfId="12" applyNumberFormat="1" applyFont="1" applyBorder="1" applyAlignment="1">
      <alignment horizontal="center" vertical="center"/>
    </xf>
    <xf numFmtId="172" fontId="7" fillId="0" borderId="42" xfId="12" applyNumberFormat="1" applyFont="1" applyBorder="1" applyAlignment="1">
      <alignment horizontal="center" vertical="center"/>
    </xf>
    <xf numFmtId="172" fontId="7" fillId="0" borderId="7" xfId="12" applyNumberFormat="1" applyFont="1" applyBorder="1" applyAlignment="1">
      <alignment horizontal="center" vertical="center"/>
    </xf>
    <xf numFmtId="0" fontId="31" fillId="53" borderId="21" xfId="11" applyFont="1" applyFill="1" applyBorder="1" applyAlignment="1">
      <alignment horizontal="center"/>
    </xf>
    <xf numFmtId="173" fontId="7" fillId="0" borderId="20" xfId="12" applyNumberFormat="1" applyFont="1" applyBorder="1" applyAlignment="1">
      <alignment horizontal="center" vertical="center"/>
    </xf>
    <xf numFmtId="173" fontId="7" fillId="8" borderId="0" xfId="12" applyNumberFormat="1" applyFont="1" applyFill="1" applyBorder="1" applyAlignment="1">
      <alignment horizontal="center" vertical="center"/>
    </xf>
    <xf numFmtId="169" fontId="0" fillId="0" borderId="0" xfId="10" applyNumberFormat="1" applyFont="1" applyBorder="1" applyAlignment="1">
      <alignment horizontal="center" vertical="center"/>
    </xf>
    <xf numFmtId="164" fontId="11" fillId="0" borderId="12" xfId="1" applyNumberFormat="1" applyFont="1" applyFill="1" applyBorder="1" applyAlignment="1">
      <alignment horizontal="center" vertical="center" wrapText="1"/>
    </xf>
    <xf numFmtId="164" fontId="11" fillId="0" borderId="8" xfId="1" applyNumberFormat="1" applyFont="1" applyFill="1" applyBorder="1" applyAlignment="1">
      <alignment horizontal="center" vertical="center" wrapText="1"/>
    </xf>
    <xf numFmtId="164" fontId="11" fillId="0" borderId="28" xfId="1" applyNumberFormat="1" applyFont="1" applyFill="1" applyBorder="1" applyAlignment="1">
      <alignment horizontal="center" vertical="center" wrapText="1"/>
    </xf>
    <xf numFmtId="164" fontId="11" fillId="0" borderId="18" xfId="1" applyNumberFormat="1" applyFont="1" applyFill="1" applyBorder="1" applyAlignment="1">
      <alignment horizontal="center" vertical="center" wrapText="1"/>
    </xf>
    <xf numFmtId="180" fontId="7" fillId="8" borderId="19" xfId="12" applyNumberFormat="1" applyFill="1" applyBorder="1" applyAlignment="1">
      <alignment horizontal="center" vertical="center"/>
    </xf>
    <xf numFmtId="175" fontId="11" fillId="0" borderId="0" xfId="0" applyNumberFormat="1" applyFont="1"/>
    <xf numFmtId="176" fontId="0" fillId="16" borderId="1" xfId="0" applyNumberForma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3" fontId="48" fillId="16" borderId="46" xfId="0" applyNumberFormat="1" applyFont="1" applyFill="1" applyBorder="1" applyAlignment="1">
      <alignment horizontal="center" vertical="center"/>
    </xf>
    <xf numFmtId="9" fontId="48" fillId="16" borderId="46" xfId="5" applyFont="1" applyFill="1" applyBorder="1" applyAlignment="1">
      <alignment horizontal="center" vertical="center"/>
    </xf>
    <xf numFmtId="9" fontId="0" fillId="16" borderId="1" xfId="5" applyFont="1" applyFill="1" applyBorder="1" applyAlignment="1">
      <alignment horizontal="center" vertical="center"/>
    </xf>
    <xf numFmtId="178" fontId="48" fillId="16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76" fontId="0" fillId="16" borderId="38" xfId="0" applyNumberFormat="1" applyFill="1" applyBorder="1" applyAlignment="1">
      <alignment horizontal="center" vertical="center"/>
    </xf>
    <xf numFmtId="176" fontId="48" fillId="16" borderId="1" xfId="0" applyNumberFormat="1" applyFont="1" applyFill="1" applyBorder="1" applyAlignment="1">
      <alignment horizontal="center" vertical="center"/>
    </xf>
    <xf numFmtId="3" fontId="48" fillId="16" borderId="1" xfId="0" applyNumberFormat="1" applyFont="1" applyFill="1" applyBorder="1" applyAlignment="1">
      <alignment horizontal="center" vertical="center"/>
    </xf>
    <xf numFmtId="176" fontId="0" fillId="16" borderId="8" xfId="0" applyNumberFormat="1" applyFill="1" applyBorder="1" applyAlignment="1">
      <alignment horizontal="center" vertical="center"/>
    </xf>
    <xf numFmtId="176" fontId="0" fillId="14" borderId="0" xfId="0" applyNumberFormat="1" applyFill="1" applyAlignment="1">
      <alignment horizontal="center"/>
    </xf>
    <xf numFmtId="3" fontId="0" fillId="14" borderId="0" xfId="0" applyNumberFormat="1" applyFill="1" applyAlignment="1">
      <alignment horizontal="center"/>
    </xf>
    <xf numFmtId="9" fontId="0" fillId="14" borderId="0" xfId="0" applyNumberFormat="1" applyFill="1" applyAlignment="1">
      <alignment horizontal="center"/>
    </xf>
    <xf numFmtId="9" fontId="0" fillId="14" borderId="0" xfId="5" applyFont="1" applyFill="1" applyAlignment="1">
      <alignment horizontal="center"/>
    </xf>
    <xf numFmtId="166" fontId="31" fillId="0" borderId="23" xfId="5" applyNumberFormat="1" applyFont="1" applyBorder="1" applyAlignment="1">
      <alignment horizontal="center"/>
    </xf>
    <xf numFmtId="166" fontId="31" fillId="0" borderId="87" xfId="5" applyNumberFormat="1" applyFont="1" applyBorder="1" applyAlignment="1">
      <alignment horizontal="center"/>
    </xf>
    <xf numFmtId="166" fontId="31" fillId="53" borderId="87" xfId="11" applyNumberFormat="1" applyFont="1" applyFill="1" applyBorder="1" applyAlignment="1">
      <alignment horizontal="center"/>
    </xf>
    <xf numFmtId="166" fontId="31" fillId="0" borderId="21" xfId="5" applyNumberFormat="1" applyFont="1" applyBorder="1" applyAlignment="1">
      <alignment horizontal="center"/>
    </xf>
    <xf numFmtId="166" fontId="31" fillId="0" borderId="23" xfId="11" applyNumberFormat="1" applyFont="1" applyBorder="1" applyAlignment="1">
      <alignment horizontal="center"/>
    </xf>
    <xf numFmtId="166" fontId="31" fillId="0" borderId="87" xfId="1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 wrapText="1"/>
    </xf>
    <xf numFmtId="0" fontId="17" fillId="0" borderId="29" xfId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42" fillId="13" borderId="2" xfId="1" applyFont="1" applyFill="1" applyBorder="1" applyAlignment="1">
      <alignment horizontal="center" vertical="center" wrapText="1"/>
    </xf>
    <xf numFmtId="0" fontId="42" fillId="13" borderId="17" xfId="1" applyFont="1" applyFill="1" applyBorder="1" applyAlignment="1">
      <alignment horizontal="center" vertical="center" wrapText="1"/>
    </xf>
    <xf numFmtId="0" fontId="42" fillId="13" borderId="4" xfId="1" applyFont="1" applyFill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8" xfId="1" applyFont="1" applyBorder="1" applyAlignment="1">
      <alignment horizontal="center" vertical="center" wrapText="1"/>
    </xf>
    <xf numFmtId="0" fontId="31" fillId="14" borderId="2" xfId="11" applyFont="1" applyFill="1" applyBorder="1" applyAlignment="1">
      <alignment horizontal="center" vertical="center"/>
    </xf>
    <xf numFmtId="0" fontId="31" fillId="14" borderId="17" xfId="11" applyFont="1" applyFill="1" applyBorder="1" applyAlignment="1">
      <alignment horizontal="center" vertical="center"/>
    </xf>
    <xf numFmtId="0" fontId="31" fillId="14" borderId="4" xfId="11" applyFont="1" applyFill="1" applyBorder="1" applyAlignment="1">
      <alignment horizontal="center" vertical="center"/>
    </xf>
    <xf numFmtId="0" fontId="31" fillId="6" borderId="2" xfId="11" applyFont="1" applyFill="1" applyBorder="1" applyAlignment="1">
      <alignment horizontal="center" vertical="center"/>
    </xf>
    <xf numFmtId="0" fontId="31" fillId="6" borderId="17" xfId="11" applyFont="1" applyFill="1" applyBorder="1" applyAlignment="1">
      <alignment horizontal="center" vertical="center"/>
    </xf>
    <xf numFmtId="0" fontId="31" fillId="6" borderId="4" xfId="11" applyFont="1" applyFill="1" applyBorder="1" applyAlignment="1">
      <alignment horizontal="center" vertical="center"/>
    </xf>
    <xf numFmtId="0" fontId="31" fillId="6" borderId="42" xfId="11" applyFont="1" applyFill="1" applyBorder="1" applyAlignment="1">
      <alignment horizontal="center" vertical="center"/>
    </xf>
    <xf numFmtId="0" fontId="47" fillId="23" borderId="73" xfId="0" applyFont="1" applyFill="1" applyBorder="1" applyAlignment="1">
      <alignment horizontal="center" vertical="center"/>
    </xf>
    <xf numFmtId="0" fontId="47" fillId="23" borderId="90" xfId="0" applyFont="1" applyFill="1" applyBorder="1" applyAlignment="1">
      <alignment horizontal="center" vertical="center"/>
    </xf>
    <xf numFmtId="0" fontId="47" fillId="23" borderId="83" xfId="0" applyFont="1" applyFill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center" vertical="center"/>
    </xf>
    <xf numFmtId="3" fontId="47" fillId="18" borderId="17" xfId="0" applyNumberFormat="1" applyFont="1" applyFill="1" applyBorder="1" applyAlignment="1">
      <alignment horizontal="center" vertical="center"/>
    </xf>
    <xf numFmtId="3" fontId="47" fillId="18" borderId="4" xfId="0" applyNumberFormat="1" applyFont="1" applyFill="1" applyBorder="1" applyAlignment="1">
      <alignment horizontal="center" vertical="center"/>
    </xf>
    <xf numFmtId="3" fontId="47" fillId="19" borderId="2" xfId="0" applyNumberFormat="1" applyFont="1" applyFill="1" applyBorder="1" applyAlignment="1">
      <alignment horizontal="center" vertical="center"/>
    </xf>
    <xf numFmtId="3" fontId="47" fillId="19" borderId="17" xfId="0" applyNumberFormat="1" applyFont="1" applyFill="1" applyBorder="1" applyAlignment="1">
      <alignment horizontal="center" vertical="center"/>
    </xf>
    <xf numFmtId="3" fontId="47" fillId="19" borderId="4" xfId="0" applyNumberFormat="1" applyFont="1" applyFill="1" applyBorder="1" applyAlignment="1">
      <alignment horizontal="center" vertical="center"/>
    </xf>
    <xf numFmtId="3" fontId="47" fillId="16" borderId="2" xfId="0" applyNumberFormat="1" applyFont="1" applyFill="1" applyBorder="1" applyAlignment="1">
      <alignment horizontal="center" vertical="center"/>
    </xf>
    <xf numFmtId="3" fontId="47" fillId="16" borderId="17" xfId="0" applyNumberFormat="1" applyFont="1" applyFill="1" applyBorder="1" applyAlignment="1">
      <alignment horizontal="center" vertical="center"/>
    </xf>
    <xf numFmtId="3" fontId="47" fillId="16" borderId="4" xfId="0" applyNumberFormat="1" applyFont="1" applyFill="1" applyBorder="1" applyAlignment="1">
      <alignment horizontal="center" vertical="center"/>
    </xf>
    <xf numFmtId="0" fontId="52" fillId="0" borderId="86" xfId="0" applyFont="1" applyBorder="1" applyAlignment="1">
      <alignment horizontal="left" vertical="top" wrapText="1"/>
    </xf>
    <xf numFmtId="0" fontId="52" fillId="0" borderId="43" xfId="0" applyFont="1" applyBorder="1" applyAlignment="1">
      <alignment horizontal="left" vertical="top" wrapText="1"/>
    </xf>
    <xf numFmtId="0" fontId="52" fillId="0" borderId="78" xfId="0" applyFont="1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</cellXfs>
  <cellStyles count="132">
    <cellStyle name="20% — акцент1" xfId="85" builtinId="30" customBuiltin="1"/>
    <cellStyle name="20% - Акцент1 2" xfId="116" xr:uid="{40C0EAC4-8657-460D-9725-DBCDDC8C3DF5}"/>
    <cellStyle name="20% — акцент1 2 2 2" xfId="32" xr:uid="{974C15AB-0912-44C0-8736-376A81E54A30}"/>
    <cellStyle name="20% — акцент1 2 2 2 2" xfId="55" xr:uid="{20358F32-6318-4876-AEEA-56E1BA96984B}"/>
    <cellStyle name="20% — акцент2" xfId="88" builtinId="34" customBuiltin="1"/>
    <cellStyle name="20% - Акцент2 2" xfId="118" xr:uid="{BA2F3729-E387-4BB6-A13F-6328AE48F4AC}"/>
    <cellStyle name="20% — акцент3" xfId="91" builtinId="38" customBuiltin="1"/>
    <cellStyle name="20% - Акцент3 2" xfId="120" xr:uid="{DDC13829-1AEE-4D09-BC4D-A1427F951F12}"/>
    <cellStyle name="20% — акцент4" xfId="94" builtinId="42" customBuiltin="1"/>
    <cellStyle name="20% - Акцент4 2" xfId="122" xr:uid="{09DA8CB4-3BC4-4038-B4E5-60A56EFCBB02}"/>
    <cellStyle name="20% — акцент5" xfId="97" builtinId="46" customBuiltin="1"/>
    <cellStyle name="20% - Акцент5 2" xfId="124" xr:uid="{93C0BB1A-64EA-4427-B205-77F89F0BB3AC}"/>
    <cellStyle name="20% — акцент6" xfId="100" builtinId="50" customBuiltin="1"/>
    <cellStyle name="20% - Акцент6 2" xfId="126" xr:uid="{7D8FD11F-FD16-4C25-A6AE-6B586AF2270F}"/>
    <cellStyle name="40% — акцент1" xfId="86" builtinId="31" customBuiltin="1"/>
    <cellStyle name="40% - Акцент1 2" xfId="117" xr:uid="{5E8179BE-FEC4-4FE3-99C2-31009274A283}"/>
    <cellStyle name="40% — акцент2" xfId="89" builtinId="35" customBuiltin="1"/>
    <cellStyle name="40% - Акцент2 2" xfId="119" xr:uid="{C1EAEFE8-388C-4BC3-9F26-3232956CCB87}"/>
    <cellStyle name="40% — акцент3" xfId="92" builtinId="39" customBuiltin="1"/>
    <cellStyle name="40% - Акцент3 2" xfId="121" xr:uid="{D6FF0064-1DD6-49EA-BC5D-67A98CBA3273}"/>
    <cellStyle name="40% — акцент4" xfId="95" builtinId="43" customBuiltin="1"/>
    <cellStyle name="40% - Акцент4 2" xfId="123" xr:uid="{7EA8F50D-9B18-42AE-BD40-5E30AB9E828F}"/>
    <cellStyle name="40% — акцент5" xfId="98" builtinId="47" customBuiltin="1"/>
    <cellStyle name="40% - Акцент5 2" xfId="125" xr:uid="{02240F16-A788-47BD-A902-2CABBBFCA600}"/>
    <cellStyle name="40% — акцент6" xfId="101" builtinId="51" customBuiltin="1"/>
    <cellStyle name="40% - Акцент6 2" xfId="127" xr:uid="{3BCCEFA0-AB82-4D1C-9274-B68139B184A2}"/>
    <cellStyle name="60% — акцент1 2" xfId="104" xr:uid="{3162FF71-E8E4-40C9-BCAC-B70165203CD0}"/>
    <cellStyle name="60% — акцент2 2" xfId="105" xr:uid="{C4273279-3346-4C05-B35A-4CDBAD0D1DC3}"/>
    <cellStyle name="60% — акцент3 2" xfId="106" xr:uid="{F81FC36B-BA48-4285-81B5-FD9ACB6A3B96}"/>
    <cellStyle name="60% — акцент4 2" xfId="107" xr:uid="{E3A777DA-3737-4885-9D1A-802EB7434998}"/>
    <cellStyle name="60% — акцент5 2" xfId="108" xr:uid="{8BE345C9-0B0E-47C6-9A9E-D591263692D5}"/>
    <cellStyle name="60% — акцент6 2" xfId="109" xr:uid="{1F1FADCA-D214-4EC3-BDBD-A549F26A0E06}"/>
    <cellStyle name="Currency 2" xfId="12" xr:uid="{0D240F24-5662-A34C-9A02-CE60FFB2C322}"/>
    <cellStyle name="Normal 3" xfId="11" xr:uid="{990AD76E-2475-9D46-926F-450597510E4C}"/>
    <cellStyle name="Normal_Sheet1" xfId="68" xr:uid="{3B09D30D-BAE8-4A9E-8344-21C6B9BB47E6}"/>
    <cellStyle name="Percent 2" xfId="13" xr:uid="{1CD32EB2-55FC-0F42-AA5E-96533C620D86}"/>
    <cellStyle name="TableStyleLight1" xfId="113" xr:uid="{C98C19FF-7F8E-4927-8BC0-A95A35F81CD2}"/>
    <cellStyle name="Акцент1" xfId="84" builtinId="29" customBuiltin="1"/>
    <cellStyle name="Акцент2" xfId="87" builtinId="33" customBuiltin="1"/>
    <cellStyle name="Акцент3" xfId="90" builtinId="37" customBuiltin="1"/>
    <cellStyle name="Акцент4" xfId="93" builtinId="41" customBuiltin="1"/>
    <cellStyle name="Акцент5" xfId="96" builtinId="45" customBuiltin="1"/>
    <cellStyle name="Акцент6" xfId="99" builtinId="49" customBuiltin="1"/>
    <cellStyle name="Ввод " xfId="76" builtinId="20" customBuiltin="1"/>
    <cellStyle name="Вывод" xfId="77" builtinId="21" customBuiltin="1"/>
    <cellStyle name="Вычисление" xfId="78" builtinId="22" customBuiltin="1"/>
    <cellStyle name="Гиперссылка 2" xfId="2" xr:uid="{00000000-0005-0000-0000-000004000000}"/>
    <cellStyle name="Денежный" xfId="9" builtinId="4"/>
    <cellStyle name="Денежный 2" xfId="16" xr:uid="{0A3D38AF-E9BB-43EA-B088-62DABE3DF06F}"/>
    <cellStyle name="Денежный 2 2" xfId="17" xr:uid="{DE661ED3-6406-40E0-A71A-33A6CA779FEC}"/>
    <cellStyle name="Денежный 2 2 2" xfId="40" xr:uid="{20372DC7-588A-4EF3-876D-275C35AD51A7}"/>
    <cellStyle name="Денежный 2 2 3" xfId="62" xr:uid="{A490E7A0-27C1-47F1-946C-AE3E4B08F26B}"/>
    <cellStyle name="Денежный 2 3" xfId="39" xr:uid="{E583BDAC-70A1-4B53-BA85-9415E214E34F}"/>
    <cellStyle name="Денежный 2 4" xfId="61" xr:uid="{F821E2E1-EEDE-40B4-A956-055197816BC2}"/>
    <cellStyle name="Денежный 3" xfId="18" xr:uid="{DF26007C-933B-470E-86DE-D89693A1EB86}"/>
    <cellStyle name="Денежный 3 2" xfId="41" xr:uid="{ABC0FF69-2A39-4EB1-826A-D56A3F8F7684}"/>
    <cellStyle name="Денежный 3 2 2" xfId="63" xr:uid="{1AAAC16A-D277-4689-B08F-9654FB1AF2E6}"/>
    <cellStyle name="Денежный 3 3" xfId="29" xr:uid="{053BDDD1-3E74-4173-85BF-963FAE50806A}"/>
    <cellStyle name="Денежный 3 4" xfId="53" xr:uid="{67C9DB55-35C5-4A1E-99C1-97B47155EBF9}"/>
    <cellStyle name="Денежный 4" xfId="43" xr:uid="{612A2739-61E2-4E38-942A-47AEE536598C}"/>
    <cellStyle name="Денежный 4 2" xfId="65" xr:uid="{4A2B47B5-9570-47DF-8E2C-F4BC71E07D94}"/>
    <cellStyle name="Денежный 5" xfId="25" xr:uid="{C5BF0C15-91A5-4E50-A1F5-C500F2F057B5}"/>
    <cellStyle name="Денежный 6" xfId="48" xr:uid="{33CCE359-B7DB-49F6-AB68-0FA920F62030}"/>
    <cellStyle name="Денежный 7" xfId="102" xr:uid="{5C015FF0-9A75-4363-81F6-266A732EB685}"/>
    <cellStyle name="Заголовок 1" xfId="71" builtinId="16" customBuiltin="1"/>
    <cellStyle name="Заголовок 2" xfId="72" builtinId="17" customBuiltin="1"/>
    <cellStyle name="Заголовок 3" xfId="73" builtinId="18" customBuiltin="1"/>
    <cellStyle name="Заголовок 4" xfId="74" builtinId="19" customBuiltin="1"/>
    <cellStyle name="Итог" xfId="83" builtinId="25" customBuiltin="1"/>
    <cellStyle name="Контрольная ячейка" xfId="80" builtinId="23" customBuiltin="1"/>
    <cellStyle name="Название" xfId="70" builtinId="15" customBuiltin="1"/>
    <cellStyle name="Нейтральный 2" xfId="103" xr:uid="{EC5A628E-40F0-40F3-9017-CE20DCBE9D51}"/>
    <cellStyle name="Обычный" xfId="0" builtinId="0"/>
    <cellStyle name="Обычный 2" xfId="1" xr:uid="{00000000-0005-0000-0000-000005000000}"/>
    <cellStyle name="Обычный 2 2" xfId="33" xr:uid="{8BC1225B-5A2D-461B-B23F-D12886390558}"/>
    <cellStyle name="Обычный 3" xfId="3" xr:uid="{00000000-0005-0000-0000-000006000000}"/>
    <cellStyle name="Обычный 3 2" xfId="4" xr:uid="{00000000-0005-0000-0000-000007000000}"/>
    <cellStyle name="Обычный 3 2 2" xfId="112" xr:uid="{8245D054-B684-4012-9416-E5F81CC7D369}"/>
    <cellStyle name="Обычный 3 3" xfId="19" xr:uid="{D8AE21C2-51CF-4748-A133-14A5EA62245F}"/>
    <cellStyle name="Обычный 3 3 2" xfId="128" xr:uid="{BB37C54D-F587-4121-9CD8-FF1B707263F8}"/>
    <cellStyle name="Обычный 3 4" xfId="110" xr:uid="{DE78F344-D745-44E8-BB8D-F90B1965D26D}"/>
    <cellStyle name="Обычный 4" xfId="6" xr:uid="{00000000-0005-0000-0000-000008000000}"/>
    <cellStyle name="Обычный 4 2" xfId="7" xr:uid="{00000000-0005-0000-0000-000009000000}"/>
    <cellStyle name="Обычный 4 2 2" xfId="8" xr:uid="{00000000-0005-0000-0000-00000A000000}"/>
    <cellStyle name="Обычный 4 2 2 2" xfId="37" xr:uid="{36B4CF2E-2477-4E43-9778-23A7B0110ECC}"/>
    <cellStyle name="Обычный 4 2 2 2 2" xfId="58" xr:uid="{6C4A6FB7-0552-47F9-AEBD-07A2305B94F0}"/>
    <cellStyle name="Обычный 4 2 2 3" xfId="24" xr:uid="{1E38CD73-F1BE-41EF-A587-18F02867E904}"/>
    <cellStyle name="Обычный 4 2 2 4" xfId="47" xr:uid="{1FE9B28F-2033-4CE3-8885-5C023C53A707}"/>
    <cellStyle name="Обычный 4 2 3" xfId="36" xr:uid="{03FD5D3B-8969-4A57-81F6-050F7772C613}"/>
    <cellStyle name="Обычный 4 2 3 2" xfId="57" xr:uid="{C6E8B4B3-15CA-4DF8-8DB9-E434B64D783B}"/>
    <cellStyle name="Обычный 4 2 4" xfId="23" xr:uid="{D5B94790-9DA5-4A14-872F-6A7AD46C620A}"/>
    <cellStyle name="Обычный 4 2 5" xfId="46" xr:uid="{68972AA8-039D-4EF6-B66A-FC522DDC30B7}"/>
    <cellStyle name="Обычный 4 2 6" xfId="130" xr:uid="{C96BF5D2-683E-487C-B1AA-3A467A45857F}"/>
    <cellStyle name="Обычный 4 3" xfId="35" xr:uid="{EDB19187-23E6-4877-8208-F3275401E74F}"/>
    <cellStyle name="Обычный 4 3 2" xfId="56" xr:uid="{9AD49E79-58A2-471D-A96B-A59D8CFF5A69}"/>
    <cellStyle name="Обычный 4 4" xfId="22" xr:uid="{5BADC316-F264-411E-BA27-6736BAEDC3A4}"/>
    <cellStyle name="Обычный 4 5" xfId="45" xr:uid="{4F813DF3-6A0F-4735-A0A0-DD5D88206160}"/>
    <cellStyle name="Обычный 4 6" xfId="114" xr:uid="{5C77E1AB-7751-4F1E-9187-1131F86D3482}"/>
    <cellStyle name="Обычный 5" xfId="14" xr:uid="{5328920C-97FE-494A-934A-699BE2B13889}"/>
    <cellStyle name="Обычный 5 2" xfId="28" xr:uid="{263F4672-F711-4982-9929-50FF150C000A}"/>
    <cellStyle name="Обычный 5 2 2" xfId="51" xr:uid="{6090C69E-DDD9-4275-B51F-9F78255D9C9C}"/>
    <cellStyle name="Обычный 5 3" xfId="59" xr:uid="{54487225-A825-432F-B2BD-00E054D5F088}"/>
    <cellStyle name="Обычный 5 4" xfId="115" xr:uid="{71ED2C88-C8A3-47D8-9F63-788C3250385D}"/>
    <cellStyle name="Обычный 6" xfId="31" xr:uid="{E296E864-B5A4-4D3E-9D80-4EB3BDD83C07}"/>
    <cellStyle name="Обычный 7" xfId="27" xr:uid="{AA76AA6E-BD56-4E72-B8DF-42662C41FD11}"/>
    <cellStyle name="Обычный 7 2" xfId="30" xr:uid="{DFB19D29-461A-4777-9D45-41DAC3D51A5F}"/>
    <cellStyle name="Обычный 7 2 2" xfId="54" xr:uid="{B3F9C9BF-1C73-42E2-B2ED-AF133BBA9103}"/>
    <cellStyle name="Обычный 7 3" xfId="50" xr:uid="{64A2BFAF-7BFF-4B8F-9C80-C2274BE127AD}"/>
    <cellStyle name="Обычный_ИФД Капитал интернет окт-дек 12 08 04. xls" xfId="67" xr:uid="{3BD967F9-32BA-4596-A480-B0B9765AF29A}"/>
    <cellStyle name="Плохой" xfId="75" builtinId="27" customBuiltin="1"/>
    <cellStyle name="Пояснение" xfId="82" builtinId="53" customBuiltin="1"/>
    <cellStyle name="Примечание 2" xfId="111" xr:uid="{726C3701-A269-41C1-B41D-0D1E62ADC38B}"/>
    <cellStyle name="Примечание 2 2" xfId="129" xr:uid="{5B182EF3-67B7-469B-B6E8-4698886FC805}"/>
    <cellStyle name="Процентный" xfId="5" builtinId="5"/>
    <cellStyle name="Процентный 2" xfId="20" xr:uid="{E0C10583-30E8-4F59-8B6D-D95F1470F0CB}"/>
    <cellStyle name="Процентный 2 2" xfId="131" xr:uid="{6F47C436-79AA-4EC6-81C3-33805412B582}"/>
    <cellStyle name="Процентный 3" xfId="15" xr:uid="{11CEAD69-C881-4086-9CAE-8D6123106D62}"/>
    <cellStyle name="Процентный 3 2" xfId="38" xr:uid="{B5308C01-7DAF-414C-8C68-39E7C22D86D4}"/>
    <cellStyle name="Процентный 3 2 2" xfId="60" xr:uid="{24EF28DF-022D-4F70-AC12-0F9E47AEC2A9}"/>
    <cellStyle name="Процентный 3 3" xfId="52" xr:uid="{08EB161D-9818-45D1-ABE5-F5211E5BA2C5}"/>
    <cellStyle name="Связанная ячейка" xfId="79" builtinId="24" customBuiltin="1"/>
    <cellStyle name="Стиль 1 2" xfId="34" xr:uid="{C2A61A26-4F4E-4EAC-BEF9-76DCFA55D596}"/>
    <cellStyle name="Текст предупреждения" xfId="81" builtinId="11" customBuiltin="1"/>
    <cellStyle name="Финансовый" xfId="10" builtinId="3"/>
    <cellStyle name="Финансовый 2" xfId="21" xr:uid="{4A8977EC-05E4-4999-B98E-C3533D2601D1}"/>
    <cellStyle name="Финансовый 2 2" xfId="42" xr:uid="{5FF67C84-7779-4142-89B3-DED9FF99A2E6}"/>
    <cellStyle name="Финансовый 2 3" xfId="64" xr:uid="{A8AEA400-BC28-43BE-8616-2FFD2B9D7CFD}"/>
    <cellStyle name="Финансовый 3" xfId="44" xr:uid="{C7305435-EF6E-4730-96D4-F5E5F3A560DC}"/>
    <cellStyle name="Финансовый 3 2" xfId="66" xr:uid="{43AF3B02-BD93-4E74-B15F-B0BD84621427}"/>
    <cellStyle name="Финансовый 4" xfId="26" xr:uid="{9E0D1A2D-9232-4E48-8750-34E9C0AE8A0F}"/>
    <cellStyle name="Финансовый 5" xfId="49" xr:uid="{262A92B8-2253-42D5-BA8D-80E0986428B1}"/>
    <cellStyle name="Хороший" xfId="69" builtinId="26" customBuiltin="1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 xr9:uid="{681B8316-F521-4A84-BD1B-AADFFDE26401}">
      <tableStyleElement type="wholeTable" dxfId="5"/>
      <tableStyleElement type="headerRow" dxfId="4"/>
      <tableStyleElement type="firstRowStripe" dxfId="3"/>
    </tableStyle>
    <tableStyle name="TableStyleQueryResult" pivot="0" count="3" xr9:uid="{AE82D3F6-973A-43E1-A2BE-939D3070AA5D}">
      <tableStyleElement type="wholeTable" dxfId="2"/>
      <tableStyleElement type="headerRow" dxfId="1"/>
      <tableStyleElement type="firstRowStripe" dxfId="0"/>
    </tableStyle>
  </tableStyles>
  <colors>
    <mruColors>
      <color rgb="FF004D79"/>
      <color rgb="FF0B6F9B"/>
      <color rgb="FF47F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6.jpg@01D7A350.D2C33A80" TargetMode="External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248564</xdr:colOff>
      <xdr:row>0</xdr:row>
      <xdr:rowOff>90715</xdr:rowOff>
    </xdr:from>
    <xdr:ext cx="1636727" cy="445324"/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79C1367F-C051-9C43-B6B4-A7D5072E6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8864" y="90715"/>
          <a:ext cx="1636727" cy="445324"/>
        </a:xfrm>
        <a:prstGeom prst="rect">
          <a:avLst/>
        </a:prstGeom>
      </xdr:spPr>
    </xdr:pic>
    <xdr:clientData/>
  </xdr:oneCellAnchor>
  <xdr:twoCellAnchor>
    <xdr:from>
      <xdr:col>0</xdr:col>
      <xdr:colOff>324757</xdr:colOff>
      <xdr:row>1</xdr:row>
      <xdr:rowOff>7258</xdr:rowOff>
    </xdr:from>
    <xdr:to>
      <xdr:col>0</xdr:col>
      <xdr:colOff>1991716</xdr:colOff>
      <xdr:row>2</xdr:row>
      <xdr:rowOff>113014</xdr:rowOff>
    </xdr:to>
    <xdr:pic>
      <xdr:nvPicPr>
        <xdr:cNvPr id="3" name="Resolution">
          <a:extLst>
            <a:ext uri="{FF2B5EF4-FFF2-40B4-BE49-F238E27FC236}">
              <a16:creationId xmlns:a16="http://schemas.microsoft.com/office/drawing/2014/main" id="{77B7F413-C5D3-4343-98EF-A4A172C90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757" y="172358"/>
          <a:ext cx="1666959" cy="270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</xdr:row>
      <xdr:rowOff>99060</xdr:rowOff>
    </xdr:from>
    <xdr:to>
      <xdr:col>4</xdr:col>
      <xdr:colOff>76200</xdr:colOff>
      <xdr:row>7</xdr:row>
      <xdr:rowOff>175260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A59AFC-FE92-8E44-A82E-A25B68D4E5EF}"/>
            </a:ext>
          </a:extLst>
        </xdr:cNvPr>
        <xdr:cNvGrpSpPr/>
      </xdr:nvGrpSpPr>
      <xdr:grpSpPr>
        <a:xfrm>
          <a:off x="129540" y="937260"/>
          <a:ext cx="2308860" cy="628650"/>
          <a:chOff x="447675" y="600075"/>
          <a:chExt cx="2647950" cy="1123950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3" name="Trapezoid 2">
            <a:extLst>
              <a:ext uri="{FF2B5EF4-FFF2-40B4-BE49-F238E27FC236}">
                <a16:creationId xmlns:a16="http://schemas.microsoft.com/office/drawing/2014/main" id="{01D01F2E-7985-E944-87D1-9B25A44A8F2F}"/>
              </a:ext>
            </a:extLst>
          </xdr:cNvPr>
          <xdr:cNvSpPr/>
        </xdr:nvSpPr>
        <xdr:spPr>
          <a:xfrm rot="10800000">
            <a:off x="447675" y="600075"/>
            <a:ext cx="2647950" cy="11239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40281C0-C108-854C-875F-354150AC350F}"/>
              </a:ext>
            </a:extLst>
          </xdr:cNvPr>
          <xdr:cNvSpPr txBox="1"/>
        </xdr:nvSpPr>
        <xdr:spPr>
          <a:xfrm>
            <a:off x="985838" y="1038225"/>
            <a:ext cx="1571625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Awareness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289560</xdr:colOff>
      <xdr:row>8</xdr:row>
      <xdr:rowOff>79281</xdr:rowOff>
    </xdr:from>
    <xdr:to>
      <xdr:col>3</xdr:col>
      <xdr:colOff>533400</xdr:colOff>
      <xdr:row>12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88B7551-8264-364B-A362-A556C6372649}"/>
            </a:ext>
          </a:extLst>
        </xdr:cNvPr>
        <xdr:cNvGrpSpPr/>
      </xdr:nvGrpSpPr>
      <xdr:grpSpPr>
        <a:xfrm>
          <a:off x="289560" y="1650906"/>
          <a:ext cx="2015490" cy="644619"/>
          <a:chOff x="695325" y="1976437"/>
          <a:chExt cx="2171700" cy="542925"/>
        </a:xfrm>
        <a:solidFill>
          <a:schemeClr val="accent3">
            <a:lumMod val="75000"/>
          </a:schemeClr>
        </a:solidFill>
      </xdr:grpSpPr>
      <xdr:sp macro="" textlink="">
        <xdr:nvSpPr>
          <xdr:cNvPr id="6" name="Trapezoid 5">
            <a:extLst>
              <a:ext uri="{FF2B5EF4-FFF2-40B4-BE49-F238E27FC236}">
                <a16:creationId xmlns:a16="http://schemas.microsoft.com/office/drawing/2014/main" id="{EC7C3CAA-DA75-224B-8A28-2319CCC03334}"/>
              </a:ext>
            </a:extLst>
          </xdr:cNvPr>
          <xdr:cNvSpPr/>
        </xdr:nvSpPr>
        <xdr:spPr>
          <a:xfrm rot="10800000">
            <a:off x="695325" y="1976437"/>
            <a:ext cx="2171700" cy="542925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D3E2E81-2070-4845-933B-564D4BF2CE0F}"/>
              </a:ext>
            </a:extLst>
          </xdr:cNvPr>
          <xdr:cNvSpPr txBox="1"/>
        </xdr:nvSpPr>
        <xdr:spPr>
          <a:xfrm>
            <a:off x="1042256" y="2117475"/>
            <a:ext cx="1477838" cy="26084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Consideration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499783</xdr:colOff>
      <xdr:row>12</xdr:row>
      <xdr:rowOff>95250</xdr:rowOff>
    </xdr:from>
    <xdr:to>
      <xdr:col>3</xdr:col>
      <xdr:colOff>350520</xdr:colOff>
      <xdr:row>16</xdr:row>
      <xdr:rowOff>107801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E226982-5FAB-F342-AC0A-C56ABDA4136B}"/>
            </a:ext>
          </a:extLst>
        </xdr:cNvPr>
        <xdr:cNvGrpSpPr/>
      </xdr:nvGrpSpPr>
      <xdr:grpSpPr>
        <a:xfrm>
          <a:off x="499783" y="2390775"/>
          <a:ext cx="1622387" cy="745976"/>
          <a:chOff x="952500" y="2952750"/>
          <a:chExt cx="1676400" cy="895350"/>
        </a:xfrm>
        <a:solidFill>
          <a:srgbClr val="92D050"/>
        </a:solidFill>
      </xdr:grpSpPr>
      <xdr:sp macro="" textlink="">
        <xdr:nvSpPr>
          <xdr:cNvPr id="9" name="Trapezoid 8">
            <a:extLst>
              <a:ext uri="{FF2B5EF4-FFF2-40B4-BE49-F238E27FC236}">
                <a16:creationId xmlns:a16="http://schemas.microsoft.com/office/drawing/2014/main" id="{63222D91-6825-5343-8931-852CEDA3654D}"/>
              </a:ext>
            </a:extLst>
          </xdr:cNvPr>
          <xdr:cNvSpPr/>
        </xdr:nvSpPr>
        <xdr:spPr>
          <a:xfrm rot="10800000">
            <a:off x="952500" y="2952750"/>
            <a:ext cx="1676400" cy="8953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265C9DF-2F0E-B040-BD0C-08434E3DCA59}"/>
              </a:ext>
            </a:extLst>
          </xdr:cNvPr>
          <xdr:cNvSpPr txBox="1"/>
        </xdr:nvSpPr>
        <xdr:spPr>
          <a:xfrm>
            <a:off x="1199064" y="3276600"/>
            <a:ext cx="1183272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Conversion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129540</xdr:colOff>
      <xdr:row>21</xdr:row>
      <xdr:rowOff>99060</xdr:rowOff>
    </xdr:from>
    <xdr:to>
      <xdr:col>4</xdr:col>
      <xdr:colOff>76200</xdr:colOff>
      <xdr:row>24</xdr:row>
      <xdr:rowOff>175260</xdr:rowOff>
    </xdr:to>
    <xdr:grpSp>
      <xdr:nvGrpSpPr>
        <xdr:cNvPr id="11" name="Group 1">
          <a:extLst>
            <a:ext uri="{FF2B5EF4-FFF2-40B4-BE49-F238E27FC236}">
              <a16:creationId xmlns:a16="http://schemas.microsoft.com/office/drawing/2014/main" id="{5B163B25-E08E-D941-B7F5-EE2FFF8E218A}"/>
            </a:ext>
          </a:extLst>
        </xdr:cNvPr>
        <xdr:cNvGrpSpPr/>
      </xdr:nvGrpSpPr>
      <xdr:grpSpPr>
        <a:xfrm>
          <a:off x="129540" y="4128135"/>
          <a:ext cx="2308860" cy="628650"/>
          <a:chOff x="447675" y="600075"/>
          <a:chExt cx="2647950" cy="1123950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12" name="Trapezoid 2">
            <a:extLst>
              <a:ext uri="{FF2B5EF4-FFF2-40B4-BE49-F238E27FC236}">
                <a16:creationId xmlns:a16="http://schemas.microsoft.com/office/drawing/2014/main" id="{19973555-7513-DF45-A27E-5507A550257D}"/>
              </a:ext>
            </a:extLst>
          </xdr:cNvPr>
          <xdr:cNvSpPr/>
        </xdr:nvSpPr>
        <xdr:spPr>
          <a:xfrm rot="10800000">
            <a:off x="447675" y="600075"/>
            <a:ext cx="2647950" cy="11239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AF40BF65-E123-4346-8251-FA56C2247AD1}"/>
              </a:ext>
            </a:extLst>
          </xdr:cNvPr>
          <xdr:cNvSpPr txBox="1"/>
        </xdr:nvSpPr>
        <xdr:spPr>
          <a:xfrm>
            <a:off x="985838" y="1038225"/>
            <a:ext cx="1571625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Awareness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289560</xdr:colOff>
      <xdr:row>25</xdr:row>
      <xdr:rowOff>79281</xdr:rowOff>
    </xdr:from>
    <xdr:to>
      <xdr:col>3</xdr:col>
      <xdr:colOff>533400</xdr:colOff>
      <xdr:row>29</xdr:row>
      <xdr:rowOff>0</xdr:rowOff>
    </xdr:to>
    <xdr:grpSp>
      <xdr:nvGrpSpPr>
        <xdr:cNvPr id="14" name="Group 4">
          <a:extLst>
            <a:ext uri="{FF2B5EF4-FFF2-40B4-BE49-F238E27FC236}">
              <a16:creationId xmlns:a16="http://schemas.microsoft.com/office/drawing/2014/main" id="{B7267791-287A-4349-BF65-7C45B495567E}"/>
            </a:ext>
          </a:extLst>
        </xdr:cNvPr>
        <xdr:cNvGrpSpPr/>
      </xdr:nvGrpSpPr>
      <xdr:grpSpPr>
        <a:xfrm>
          <a:off x="289560" y="4841781"/>
          <a:ext cx="2015490" cy="644619"/>
          <a:chOff x="695325" y="1976437"/>
          <a:chExt cx="2171700" cy="542925"/>
        </a:xfrm>
        <a:solidFill>
          <a:schemeClr val="accent3">
            <a:lumMod val="75000"/>
          </a:schemeClr>
        </a:solidFill>
      </xdr:grpSpPr>
      <xdr:sp macro="" textlink="">
        <xdr:nvSpPr>
          <xdr:cNvPr id="15" name="Trapezoid 5">
            <a:extLst>
              <a:ext uri="{FF2B5EF4-FFF2-40B4-BE49-F238E27FC236}">
                <a16:creationId xmlns:a16="http://schemas.microsoft.com/office/drawing/2014/main" id="{EAD6A516-1FC3-6741-A532-D808D4512D26}"/>
              </a:ext>
            </a:extLst>
          </xdr:cNvPr>
          <xdr:cNvSpPr/>
        </xdr:nvSpPr>
        <xdr:spPr>
          <a:xfrm rot="10800000">
            <a:off x="695325" y="1976437"/>
            <a:ext cx="2171700" cy="542925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6DAFACDE-1E5A-4644-979D-4EA8506CF01F}"/>
              </a:ext>
            </a:extLst>
          </xdr:cNvPr>
          <xdr:cNvSpPr txBox="1"/>
        </xdr:nvSpPr>
        <xdr:spPr>
          <a:xfrm>
            <a:off x="1042256" y="2117475"/>
            <a:ext cx="1477838" cy="26084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Consideration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499783</xdr:colOff>
      <xdr:row>29</xdr:row>
      <xdr:rowOff>66675</xdr:rowOff>
    </xdr:from>
    <xdr:to>
      <xdr:col>3</xdr:col>
      <xdr:colOff>350520</xdr:colOff>
      <xdr:row>33</xdr:row>
      <xdr:rowOff>0</xdr:rowOff>
    </xdr:to>
    <xdr:grpSp>
      <xdr:nvGrpSpPr>
        <xdr:cNvPr id="17" name="Group 7">
          <a:extLst>
            <a:ext uri="{FF2B5EF4-FFF2-40B4-BE49-F238E27FC236}">
              <a16:creationId xmlns:a16="http://schemas.microsoft.com/office/drawing/2014/main" id="{B26CB2F7-A707-0144-8891-DBA585F6B406}"/>
            </a:ext>
          </a:extLst>
        </xdr:cNvPr>
        <xdr:cNvGrpSpPr/>
      </xdr:nvGrpSpPr>
      <xdr:grpSpPr>
        <a:xfrm>
          <a:off x="499783" y="5553075"/>
          <a:ext cx="1622387" cy="666750"/>
          <a:chOff x="952500" y="2952750"/>
          <a:chExt cx="1676400" cy="895350"/>
        </a:xfrm>
        <a:solidFill>
          <a:srgbClr val="92D050"/>
        </a:solidFill>
      </xdr:grpSpPr>
      <xdr:sp macro="" textlink="">
        <xdr:nvSpPr>
          <xdr:cNvPr id="18" name="Trapezoid 8">
            <a:extLst>
              <a:ext uri="{FF2B5EF4-FFF2-40B4-BE49-F238E27FC236}">
                <a16:creationId xmlns:a16="http://schemas.microsoft.com/office/drawing/2014/main" id="{53505E8E-7904-8643-B1C9-E3E157EF4273}"/>
              </a:ext>
            </a:extLst>
          </xdr:cNvPr>
          <xdr:cNvSpPr/>
        </xdr:nvSpPr>
        <xdr:spPr>
          <a:xfrm rot="10800000">
            <a:off x="952500" y="2952750"/>
            <a:ext cx="1676400" cy="8953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C033C85F-8104-BF4B-95C6-BE2BFD009BE2}"/>
              </a:ext>
            </a:extLst>
          </xdr:cNvPr>
          <xdr:cNvSpPr txBox="1"/>
        </xdr:nvSpPr>
        <xdr:spPr>
          <a:xfrm>
            <a:off x="1199064" y="3276600"/>
            <a:ext cx="1183272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Conversion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133350</xdr:colOff>
      <xdr:row>21</xdr:row>
      <xdr:rowOff>95250</xdr:rowOff>
    </xdr:from>
    <xdr:to>
      <xdr:col>4</xdr:col>
      <xdr:colOff>76200</xdr:colOff>
      <xdr:row>24</xdr:row>
      <xdr:rowOff>171450</xdr:rowOff>
    </xdr:to>
    <xdr:grpSp>
      <xdr:nvGrpSpPr>
        <xdr:cNvPr id="20" name="Group 1">
          <a:extLst>
            <a:ext uri="{FF2B5EF4-FFF2-40B4-BE49-F238E27FC236}">
              <a16:creationId xmlns:a16="http://schemas.microsoft.com/office/drawing/2014/main" id="{85C11373-A8F0-8549-A688-B074E87C6AC0}"/>
            </a:ext>
          </a:extLst>
        </xdr:cNvPr>
        <xdr:cNvGrpSpPr/>
      </xdr:nvGrpSpPr>
      <xdr:grpSpPr>
        <a:xfrm>
          <a:off x="133350" y="4124325"/>
          <a:ext cx="2305050" cy="628650"/>
          <a:chOff x="447675" y="600075"/>
          <a:chExt cx="2647950" cy="1123950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21" name="Trapezoid 2">
            <a:extLst>
              <a:ext uri="{FF2B5EF4-FFF2-40B4-BE49-F238E27FC236}">
                <a16:creationId xmlns:a16="http://schemas.microsoft.com/office/drawing/2014/main" id="{F3B583FF-5B8E-1546-96D9-CFE4229F0FD0}"/>
              </a:ext>
            </a:extLst>
          </xdr:cNvPr>
          <xdr:cNvSpPr/>
        </xdr:nvSpPr>
        <xdr:spPr>
          <a:xfrm rot="10800000">
            <a:off x="447675" y="600075"/>
            <a:ext cx="2647950" cy="11239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12A2ABDC-E6EE-9044-A70D-AF33C34AF62A}"/>
              </a:ext>
            </a:extLst>
          </xdr:cNvPr>
          <xdr:cNvSpPr txBox="1"/>
        </xdr:nvSpPr>
        <xdr:spPr>
          <a:xfrm>
            <a:off x="985838" y="1038225"/>
            <a:ext cx="1571625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Awareness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285750</xdr:colOff>
      <xdr:row>25</xdr:row>
      <xdr:rowOff>79281</xdr:rowOff>
    </xdr:from>
    <xdr:to>
      <xdr:col>3</xdr:col>
      <xdr:colOff>533400</xdr:colOff>
      <xdr:row>29</xdr:row>
      <xdr:rowOff>0</xdr:rowOff>
    </xdr:to>
    <xdr:grpSp>
      <xdr:nvGrpSpPr>
        <xdr:cNvPr id="23" name="Group 4">
          <a:extLst>
            <a:ext uri="{FF2B5EF4-FFF2-40B4-BE49-F238E27FC236}">
              <a16:creationId xmlns:a16="http://schemas.microsoft.com/office/drawing/2014/main" id="{649666F8-51E6-7745-B885-83A14F858906}"/>
            </a:ext>
          </a:extLst>
        </xdr:cNvPr>
        <xdr:cNvGrpSpPr/>
      </xdr:nvGrpSpPr>
      <xdr:grpSpPr>
        <a:xfrm>
          <a:off x="285750" y="4841781"/>
          <a:ext cx="2019300" cy="644619"/>
          <a:chOff x="695325" y="1976437"/>
          <a:chExt cx="2171700" cy="542925"/>
        </a:xfrm>
        <a:solidFill>
          <a:schemeClr val="accent3">
            <a:lumMod val="75000"/>
          </a:schemeClr>
        </a:solidFill>
      </xdr:grpSpPr>
      <xdr:sp macro="" textlink="">
        <xdr:nvSpPr>
          <xdr:cNvPr id="24" name="Trapezoid 5">
            <a:extLst>
              <a:ext uri="{FF2B5EF4-FFF2-40B4-BE49-F238E27FC236}">
                <a16:creationId xmlns:a16="http://schemas.microsoft.com/office/drawing/2014/main" id="{84734B5D-1E8F-6849-9E8B-15648D51FD04}"/>
              </a:ext>
            </a:extLst>
          </xdr:cNvPr>
          <xdr:cNvSpPr/>
        </xdr:nvSpPr>
        <xdr:spPr>
          <a:xfrm rot="10800000">
            <a:off x="695325" y="1976437"/>
            <a:ext cx="2171700" cy="542925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71495AA-9B61-8643-89D6-7959F0BEC0E6}"/>
              </a:ext>
            </a:extLst>
          </xdr:cNvPr>
          <xdr:cNvSpPr txBox="1"/>
        </xdr:nvSpPr>
        <xdr:spPr>
          <a:xfrm>
            <a:off x="1042256" y="2117475"/>
            <a:ext cx="1477838" cy="26084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Consideration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129540</xdr:colOff>
      <xdr:row>38</xdr:row>
      <xdr:rowOff>99060</xdr:rowOff>
    </xdr:from>
    <xdr:to>
      <xdr:col>4</xdr:col>
      <xdr:colOff>76200</xdr:colOff>
      <xdr:row>43</xdr:row>
      <xdr:rowOff>175260</xdr:rowOff>
    </xdr:to>
    <xdr:grpSp>
      <xdr:nvGrpSpPr>
        <xdr:cNvPr id="35" name="Group 1">
          <a:extLst>
            <a:ext uri="{FF2B5EF4-FFF2-40B4-BE49-F238E27FC236}">
              <a16:creationId xmlns:a16="http://schemas.microsoft.com/office/drawing/2014/main" id="{EFDA920E-1489-45F8-8655-FB7E0991393E}"/>
            </a:ext>
          </a:extLst>
        </xdr:cNvPr>
        <xdr:cNvGrpSpPr/>
      </xdr:nvGrpSpPr>
      <xdr:grpSpPr>
        <a:xfrm>
          <a:off x="129540" y="7309485"/>
          <a:ext cx="2308860" cy="1000125"/>
          <a:chOff x="447675" y="600075"/>
          <a:chExt cx="2647950" cy="1123950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36" name="Trapezoid 2">
            <a:extLst>
              <a:ext uri="{FF2B5EF4-FFF2-40B4-BE49-F238E27FC236}">
                <a16:creationId xmlns:a16="http://schemas.microsoft.com/office/drawing/2014/main" id="{B2143FAB-518C-4B89-A8DE-ECD2D436D21D}"/>
              </a:ext>
            </a:extLst>
          </xdr:cNvPr>
          <xdr:cNvSpPr/>
        </xdr:nvSpPr>
        <xdr:spPr>
          <a:xfrm rot="10800000">
            <a:off x="447675" y="600075"/>
            <a:ext cx="2647950" cy="11239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7" name="TextBox 39">
            <a:extLst>
              <a:ext uri="{FF2B5EF4-FFF2-40B4-BE49-F238E27FC236}">
                <a16:creationId xmlns:a16="http://schemas.microsoft.com/office/drawing/2014/main" id="{C8514295-9CD9-405A-AF49-06E796A57E9D}"/>
              </a:ext>
            </a:extLst>
          </xdr:cNvPr>
          <xdr:cNvSpPr txBox="1"/>
        </xdr:nvSpPr>
        <xdr:spPr>
          <a:xfrm>
            <a:off x="985838" y="1038225"/>
            <a:ext cx="1571625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Awareness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289560</xdr:colOff>
      <xdr:row>44</xdr:row>
      <xdr:rowOff>79281</xdr:rowOff>
    </xdr:from>
    <xdr:to>
      <xdr:col>3</xdr:col>
      <xdr:colOff>533400</xdr:colOff>
      <xdr:row>48</xdr:row>
      <xdr:rowOff>0</xdr:rowOff>
    </xdr:to>
    <xdr:grpSp>
      <xdr:nvGrpSpPr>
        <xdr:cNvPr id="32" name="Group 4">
          <a:extLst>
            <a:ext uri="{FF2B5EF4-FFF2-40B4-BE49-F238E27FC236}">
              <a16:creationId xmlns:a16="http://schemas.microsoft.com/office/drawing/2014/main" id="{4885FAF3-882A-458A-852F-D1FF0C538FB1}"/>
            </a:ext>
          </a:extLst>
        </xdr:cNvPr>
        <xdr:cNvGrpSpPr/>
      </xdr:nvGrpSpPr>
      <xdr:grpSpPr>
        <a:xfrm>
          <a:off x="289560" y="8394606"/>
          <a:ext cx="2015490" cy="644619"/>
          <a:chOff x="695325" y="1976437"/>
          <a:chExt cx="2171700" cy="542925"/>
        </a:xfrm>
        <a:solidFill>
          <a:schemeClr val="accent3">
            <a:lumMod val="75000"/>
          </a:schemeClr>
        </a:solidFill>
      </xdr:grpSpPr>
      <xdr:sp macro="" textlink="">
        <xdr:nvSpPr>
          <xdr:cNvPr id="33" name="Trapezoid 5">
            <a:extLst>
              <a:ext uri="{FF2B5EF4-FFF2-40B4-BE49-F238E27FC236}">
                <a16:creationId xmlns:a16="http://schemas.microsoft.com/office/drawing/2014/main" id="{C39D614A-523A-40F6-AC1E-1FEF3284B0F5}"/>
              </a:ext>
            </a:extLst>
          </xdr:cNvPr>
          <xdr:cNvSpPr/>
        </xdr:nvSpPr>
        <xdr:spPr>
          <a:xfrm rot="10800000">
            <a:off x="695325" y="1976437"/>
            <a:ext cx="2171700" cy="542925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4" name="TextBox 42">
            <a:extLst>
              <a:ext uri="{FF2B5EF4-FFF2-40B4-BE49-F238E27FC236}">
                <a16:creationId xmlns:a16="http://schemas.microsoft.com/office/drawing/2014/main" id="{DA8511AC-A950-4489-A7B6-E25EB598F863}"/>
              </a:ext>
            </a:extLst>
          </xdr:cNvPr>
          <xdr:cNvSpPr txBox="1"/>
        </xdr:nvSpPr>
        <xdr:spPr>
          <a:xfrm>
            <a:off x="1042256" y="2117475"/>
            <a:ext cx="1477838" cy="26084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Consideration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499783</xdr:colOff>
      <xdr:row>48</xdr:row>
      <xdr:rowOff>85725</xdr:rowOff>
    </xdr:from>
    <xdr:to>
      <xdr:col>3</xdr:col>
      <xdr:colOff>350520</xdr:colOff>
      <xdr:row>52</xdr:row>
      <xdr:rowOff>0</xdr:rowOff>
    </xdr:to>
    <xdr:grpSp>
      <xdr:nvGrpSpPr>
        <xdr:cNvPr id="44" name="Group 7">
          <a:extLst>
            <a:ext uri="{FF2B5EF4-FFF2-40B4-BE49-F238E27FC236}">
              <a16:creationId xmlns:a16="http://schemas.microsoft.com/office/drawing/2014/main" id="{CDD16C94-A870-4CC2-9CAD-BA8F2738ED13}"/>
            </a:ext>
          </a:extLst>
        </xdr:cNvPr>
        <xdr:cNvGrpSpPr/>
      </xdr:nvGrpSpPr>
      <xdr:grpSpPr>
        <a:xfrm>
          <a:off x="499783" y="9124950"/>
          <a:ext cx="1622387" cy="647700"/>
          <a:chOff x="952500" y="2952750"/>
          <a:chExt cx="1676400" cy="895350"/>
        </a:xfrm>
        <a:solidFill>
          <a:srgbClr val="92D050"/>
        </a:solidFill>
      </xdr:grpSpPr>
      <xdr:sp macro="" textlink="">
        <xdr:nvSpPr>
          <xdr:cNvPr id="45" name="Trapezoid 8">
            <a:extLst>
              <a:ext uri="{FF2B5EF4-FFF2-40B4-BE49-F238E27FC236}">
                <a16:creationId xmlns:a16="http://schemas.microsoft.com/office/drawing/2014/main" id="{BFC8BB5A-3871-4017-AB4B-11B52EB5CCC4}"/>
              </a:ext>
            </a:extLst>
          </xdr:cNvPr>
          <xdr:cNvSpPr/>
        </xdr:nvSpPr>
        <xdr:spPr>
          <a:xfrm rot="10800000">
            <a:off x="952500" y="2952750"/>
            <a:ext cx="1676400" cy="8953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89BA1111-AF8D-48AB-957F-074D3E256524}"/>
              </a:ext>
            </a:extLst>
          </xdr:cNvPr>
          <xdr:cNvSpPr txBox="1"/>
        </xdr:nvSpPr>
        <xdr:spPr>
          <a:xfrm>
            <a:off x="1199064" y="3276600"/>
            <a:ext cx="1183272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Conversion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133350</xdr:colOff>
      <xdr:row>38</xdr:row>
      <xdr:rowOff>95250</xdr:rowOff>
    </xdr:from>
    <xdr:to>
      <xdr:col>4</xdr:col>
      <xdr:colOff>76200</xdr:colOff>
      <xdr:row>43</xdr:row>
      <xdr:rowOff>171450</xdr:rowOff>
    </xdr:to>
    <xdr:grpSp>
      <xdr:nvGrpSpPr>
        <xdr:cNvPr id="29" name="Group 1">
          <a:extLst>
            <a:ext uri="{FF2B5EF4-FFF2-40B4-BE49-F238E27FC236}">
              <a16:creationId xmlns:a16="http://schemas.microsoft.com/office/drawing/2014/main" id="{9CA55F75-7B64-44B5-AA7D-649A78C3F99F}"/>
            </a:ext>
          </a:extLst>
        </xdr:cNvPr>
        <xdr:cNvGrpSpPr/>
      </xdr:nvGrpSpPr>
      <xdr:grpSpPr>
        <a:xfrm>
          <a:off x="133350" y="7305675"/>
          <a:ext cx="2305050" cy="1000125"/>
          <a:chOff x="447675" y="600075"/>
          <a:chExt cx="2647950" cy="1123950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30" name="Trapezoid 2">
            <a:extLst>
              <a:ext uri="{FF2B5EF4-FFF2-40B4-BE49-F238E27FC236}">
                <a16:creationId xmlns:a16="http://schemas.microsoft.com/office/drawing/2014/main" id="{4D621948-B906-45D7-A44D-5199B4D749AC}"/>
              </a:ext>
            </a:extLst>
          </xdr:cNvPr>
          <xdr:cNvSpPr/>
        </xdr:nvSpPr>
        <xdr:spPr>
          <a:xfrm rot="10800000">
            <a:off x="447675" y="600075"/>
            <a:ext cx="2647950" cy="1123950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1" name="TextBox 48">
            <a:extLst>
              <a:ext uri="{FF2B5EF4-FFF2-40B4-BE49-F238E27FC236}">
                <a16:creationId xmlns:a16="http://schemas.microsoft.com/office/drawing/2014/main" id="{B9D20E63-014A-4F1A-A22F-5AA66288C48C}"/>
              </a:ext>
            </a:extLst>
          </xdr:cNvPr>
          <xdr:cNvSpPr txBox="1"/>
        </xdr:nvSpPr>
        <xdr:spPr>
          <a:xfrm>
            <a:off x="985838" y="1038225"/>
            <a:ext cx="1571625" cy="2476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Awareness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285750</xdr:colOff>
      <xdr:row>44</xdr:row>
      <xdr:rowOff>79281</xdr:rowOff>
    </xdr:from>
    <xdr:to>
      <xdr:col>3</xdr:col>
      <xdr:colOff>533400</xdr:colOff>
      <xdr:row>48</xdr:row>
      <xdr:rowOff>0</xdr:rowOff>
    </xdr:to>
    <xdr:grpSp>
      <xdr:nvGrpSpPr>
        <xdr:cNvPr id="26" name="Group 4">
          <a:extLst>
            <a:ext uri="{FF2B5EF4-FFF2-40B4-BE49-F238E27FC236}">
              <a16:creationId xmlns:a16="http://schemas.microsoft.com/office/drawing/2014/main" id="{B9BC568D-4CEE-4750-9083-9F2D514F8B77}"/>
            </a:ext>
          </a:extLst>
        </xdr:cNvPr>
        <xdr:cNvGrpSpPr/>
      </xdr:nvGrpSpPr>
      <xdr:grpSpPr>
        <a:xfrm>
          <a:off x="285750" y="8394606"/>
          <a:ext cx="2019300" cy="644619"/>
          <a:chOff x="695325" y="1976437"/>
          <a:chExt cx="2171700" cy="542925"/>
        </a:xfrm>
        <a:solidFill>
          <a:schemeClr val="accent3">
            <a:lumMod val="75000"/>
          </a:schemeClr>
        </a:solidFill>
      </xdr:grpSpPr>
      <xdr:sp macro="" textlink="">
        <xdr:nvSpPr>
          <xdr:cNvPr id="27" name="Trapezoid 5">
            <a:extLst>
              <a:ext uri="{FF2B5EF4-FFF2-40B4-BE49-F238E27FC236}">
                <a16:creationId xmlns:a16="http://schemas.microsoft.com/office/drawing/2014/main" id="{46961B65-B2DB-42FE-968F-D8966FF35D22}"/>
              </a:ext>
            </a:extLst>
          </xdr:cNvPr>
          <xdr:cNvSpPr/>
        </xdr:nvSpPr>
        <xdr:spPr>
          <a:xfrm rot="10800000">
            <a:off x="695325" y="1976437"/>
            <a:ext cx="2171700" cy="542925"/>
          </a:xfrm>
          <a:prstGeom prst="trapezoid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8" name="TextBox 51">
            <a:extLst>
              <a:ext uri="{FF2B5EF4-FFF2-40B4-BE49-F238E27FC236}">
                <a16:creationId xmlns:a16="http://schemas.microsoft.com/office/drawing/2014/main" id="{F0E2FE8B-CD7B-420D-8D9B-64E168A0436D}"/>
              </a:ext>
            </a:extLst>
          </xdr:cNvPr>
          <xdr:cNvSpPr txBox="1"/>
        </xdr:nvSpPr>
        <xdr:spPr>
          <a:xfrm>
            <a:off x="1042256" y="2117475"/>
            <a:ext cx="1477838" cy="26084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Consideration</a:t>
            </a:r>
            <a:endParaRPr lang="ru-RU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106680</xdr:rowOff>
    </xdr:from>
    <xdr:to>
      <xdr:col>11</xdr:col>
      <xdr:colOff>228600</xdr:colOff>
      <xdr:row>11</xdr:row>
      <xdr:rowOff>89326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43319C-8BFA-46CD-8CF4-A1F6559BE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6680"/>
          <a:ext cx="6791325" cy="1994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D5FE-3903-CC40-8715-EBF4CF2E6366}">
  <dimension ref="A1:AN103"/>
  <sheetViews>
    <sheetView showGridLines="0" zoomScale="60" zoomScaleNormal="60" workbookViewId="0">
      <pane xSplit="8" ySplit="8" topLeftCell="I9" activePane="bottomRight" state="frozen"/>
      <selection activeCell="L35" sqref="L35"/>
      <selection pane="topRight" activeCell="L35" sqref="L35"/>
      <selection pane="bottomLeft" activeCell="L35" sqref="L35"/>
      <selection pane="bottomRight" activeCell="M5" sqref="M5"/>
    </sheetView>
  </sheetViews>
  <sheetFormatPr defaultColWidth="8.77734375" defaultRowHeight="14.4" outlineLevelCol="1"/>
  <cols>
    <col min="1" max="1" width="20" style="1" bestFit="1" customWidth="1"/>
    <col min="2" max="2" width="12.77734375" style="1" customWidth="1"/>
    <col min="3" max="3" width="27.77734375" style="1" bestFit="1" customWidth="1"/>
    <col min="4" max="4" width="20.5546875" style="1" customWidth="1"/>
    <col min="5" max="5" width="16.77734375" style="1" bestFit="1" customWidth="1"/>
    <col min="6" max="6" width="18.77734375" style="1" customWidth="1"/>
    <col min="7" max="7" width="13.44140625" style="1" customWidth="1"/>
    <col min="8" max="9" width="14.21875" style="1" customWidth="1"/>
    <col min="10" max="10" width="11.77734375" style="1" customWidth="1"/>
    <col min="11" max="11" width="13.21875" style="1" customWidth="1"/>
    <col min="12" max="12" width="11.77734375" style="1" customWidth="1"/>
    <col min="13" max="13" width="12.77734375" style="1" customWidth="1"/>
    <col min="14" max="14" width="9.77734375" style="1" customWidth="1"/>
    <col min="15" max="16" width="21.77734375" style="1" customWidth="1"/>
    <col min="17" max="19" width="21.77734375" style="1" customWidth="1" outlineLevel="1"/>
    <col min="20" max="20" width="21.77734375" style="1" customWidth="1"/>
    <col min="21" max="21" width="22.21875" style="1" customWidth="1"/>
    <col min="22" max="22" width="15.77734375" style="1" customWidth="1"/>
    <col min="23" max="23" width="11.77734375" style="115" customWidth="1"/>
    <col min="24" max="24" width="15.77734375" style="1" customWidth="1"/>
    <col min="25" max="25" width="11.77734375" style="1" customWidth="1"/>
    <col min="26" max="26" width="15.77734375" style="1" customWidth="1"/>
    <col min="27" max="28" width="11.77734375" style="1" customWidth="1"/>
    <col min="29" max="29" width="15.77734375" style="1" customWidth="1"/>
    <col min="30" max="30" width="11.77734375" style="1" customWidth="1"/>
    <col min="31" max="31" width="15.77734375" style="1" customWidth="1"/>
    <col min="32" max="34" width="11.77734375" style="1" customWidth="1"/>
    <col min="35" max="35" width="8.77734375" customWidth="1"/>
    <col min="36" max="36" width="40" style="15" customWidth="1"/>
    <col min="37" max="37" width="8.77734375" style="15" customWidth="1"/>
    <col min="38" max="38" width="14.21875" style="15" bestFit="1" customWidth="1"/>
    <col min="39" max="39" width="8.77734375" style="15"/>
    <col min="40" max="40" width="10.21875" style="15" bestFit="1" customWidth="1"/>
    <col min="41" max="16384" width="8.77734375" style="15"/>
  </cols>
  <sheetData>
    <row r="1" spans="1:40">
      <c r="B1" s="9"/>
      <c r="C1" s="9"/>
      <c r="D1" s="9"/>
      <c r="E1" s="9"/>
      <c r="F1" s="9"/>
      <c r="N1" s="2"/>
      <c r="O1" s="2"/>
      <c r="P1" s="2"/>
      <c r="Q1" s="2"/>
      <c r="X1" s="2"/>
    </row>
    <row r="2" spans="1:40" ht="13.2">
      <c r="B2" s="9"/>
      <c r="C2" s="9"/>
      <c r="D2" s="9"/>
      <c r="E2" s="9"/>
      <c r="F2" s="9"/>
      <c r="N2" s="2"/>
      <c r="O2" s="2"/>
      <c r="P2" s="2"/>
      <c r="Q2" s="2"/>
      <c r="W2" s="1"/>
      <c r="AI2" s="1"/>
      <c r="AJ2" s="1"/>
      <c r="AK2" s="1"/>
      <c r="AL2" s="1"/>
      <c r="AM2" s="1"/>
    </row>
    <row r="3" spans="1:40" ht="13.2">
      <c r="B3" s="9"/>
      <c r="C3" s="9"/>
      <c r="D3" s="9"/>
      <c r="E3" s="9"/>
      <c r="F3" s="9"/>
      <c r="O3" s="2"/>
      <c r="P3" s="2"/>
      <c r="Q3" s="2"/>
      <c r="W3" s="1"/>
      <c r="AI3" s="1"/>
      <c r="AJ3" s="1"/>
      <c r="AK3" s="1"/>
      <c r="AL3" s="1"/>
      <c r="AM3" s="1"/>
    </row>
    <row r="4" spans="1:40" ht="13.2">
      <c r="B4" s="9"/>
      <c r="C4" s="9"/>
      <c r="D4" s="9"/>
      <c r="E4" s="9"/>
      <c r="F4" s="9"/>
      <c r="N4" s="2"/>
      <c r="O4" s="2"/>
      <c r="P4" s="2"/>
      <c r="Q4" s="2"/>
      <c r="R4" s="2"/>
      <c r="W4" s="1"/>
      <c r="AI4" s="1"/>
      <c r="AJ4" s="1"/>
      <c r="AK4" s="1"/>
      <c r="AL4" s="1"/>
      <c r="AM4" s="1"/>
    </row>
    <row r="5" spans="1:40" ht="13.2">
      <c r="A5" s="9" t="s">
        <v>0</v>
      </c>
      <c r="B5" s="11"/>
      <c r="C5" s="11" t="s">
        <v>1</v>
      </c>
      <c r="D5" s="10"/>
      <c r="E5" s="10"/>
      <c r="F5" s="10"/>
      <c r="G5" s="10"/>
      <c r="H5" s="10"/>
      <c r="I5" s="10"/>
      <c r="J5" s="10"/>
      <c r="K5" s="10"/>
      <c r="L5" s="10"/>
      <c r="N5" s="2"/>
      <c r="O5" s="2"/>
      <c r="P5" s="2"/>
      <c r="Q5" s="2"/>
      <c r="R5" s="2"/>
      <c r="W5" s="1"/>
      <c r="AA5" s="416"/>
      <c r="AI5" s="1"/>
      <c r="AJ5" s="1"/>
      <c r="AK5" s="1"/>
      <c r="AL5" s="1"/>
    </row>
    <row r="6" spans="1:40" ht="13.2">
      <c r="A6" s="9" t="s">
        <v>2</v>
      </c>
      <c r="B6" s="11"/>
      <c r="C6" s="11" t="s">
        <v>3</v>
      </c>
      <c r="D6" s="11" t="s">
        <v>4</v>
      </c>
      <c r="E6" s="11"/>
      <c r="F6" s="11"/>
      <c r="G6" s="11"/>
      <c r="H6" s="11"/>
      <c r="I6" s="10"/>
      <c r="J6" s="10"/>
      <c r="K6" s="10"/>
      <c r="L6" s="10"/>
      <c r="M6" s="10"/>
      <c r="N6" s="10"/>
      <c r="O6" s="2"/>
      <c r="P6" s="2"/>
      <c r="Q6" s="2"/>
      <c r="R6" s="2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I6" s="10"/>
      <c r="AJ6" s="10"/>
      <c r="AK6" s="10"/>
      <c r="AL6" s="10"/>
    </row>
    <row r="7" spans="1:40" ht="30.6" thickBot="1">
      <c r="K7" s="189" t="s">
        <v>5</v>
      </c>
      <c r="R7" s="2"/>
      <c r="S7" s="241"/>
      <c r="T7" s="241"/>
      <c r="U7" s="242"/>
      <c r="V7" s="245"/>
      <c r="W7" s="242"/>
      <c r="X7" s="243"/>
      <c r="Y7" s="242"/>
      <c r="Z7" s="241"/>
      <c r="AA7" s="243"/>
      <c r="AB7" s="242"/>
      <c r="AC7" s="246"/>
      <c r="AD7" s="242"/>
      <c r="AE7" s="246"/>
      <c r="AF7" s="244"/>
      <c r="AI7" s="15"/>
    </row>
    <row r="8" spans="1:40" ht="62.25" customHeight="1" thickBot="1">
      <c r="A8" s="134" t="s">
        <v>6</v>
      </c>
      <c r="B8" s="135" t="s">
        <v>7</v>
      </c>
      <c r="C8" s="135" t="s">
        <v>7</v>
      </c>
      <c r="D8" s="135" t="s">
        <v>8</v>
      </c>
      <c r="E8" s="136" t="s">
        <v>9</v>
      </c>
      <c r="F8" s="136" t="s">
        <v>8</v>
      </c>
      <c r="G8" s="136" t="s">
        <v>10</v>
      </c>
      <c r="H8" s="136" t="s">
        <v>11</v>
      </c>
      <c r="I8" s="136" t="s">
        <v>12</v>
      </c>
      <c r="J8" s="136" t="s">
        <v>13</v>
      </c>
      <c r="K8" s="137" t="s">
        <v>14</v>
      </c>
      <c r="L8" s="137" t="s">
        <v>15</v>
      </c>
      <c r="M8" s="137" t="s">
        <v>16</v>
      </c>
      <c r="N8" s="136" t="s">
        <v>17</v>
      </c>
      <c r="O8" s="193" t="s">
        <v>18</v>
      </c>
      <c r="P8" s="193" t="s">
        <v>19</v>
      </c>
      <c r="Q8" s="193" t="s">
        <v>20</v>
      </c>
      <c r="R8" s="137" t="s">
        <v>21</v>
      </c>
      <c r="S8" s="151" t="s">
        <v>22</v>
      </c>
      <c r="T8" s="137" t="s">
        <v>23</v>
      </c>
      <c r="U8" s="8" t="s">
        <v>24</v>
      </c>
      <c r="V8" s="255" t="s">
        <v>25</v>
      </c>
      <c r="W8" s="7" t="s">
        <v>26</v>
      </c>
      <c r="X8" s="151" t="s">
        <v>27</v>
      </c>
      <c r="Y8" s="151" t="s">
        <v>28</v>
      </c>
      <c r="Z8" s="136" t="s">
        <v>29</v>
      </c>
      <c r="AA8" s="151" t="s">
        <v>30</v>
      </c>
      <c r="AB8" s="151" t="s">
        <v>31</v>
      </c>
      <c r="AC8" s="151" t="s">
        <v>32</v>
      </c>
      <c r="AD8" s="12" t="s">
        <v>33</v>
      </c>
      <c r="AE8" s="12" t="s">
        <v>34</v>
      </c>
      <c r="AF8" s="28" t="s">
        <v>35</v>
      </c>
      <c r="AG8" s="92" t="s">
        <v>36</v>
      </c>
      <c r="AI8" s="423" t="s">
        <v>37</v>
      </c>
      <c r="AJ8" s="424" t="s">
        <v>38</v>
      </c>
    </row>
    <row r="9" spans="1:40" ht="19.95" customHeight="1" thickBot="1">
      <c r="A9" s="131" t="s">
        <v>39</v>
      </c>
      <c r="B9" s="13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1"/>
      <c r="S9" s="91"/>
      <c r="T9" s="91"/>
      <c r="U9" s="91"/>
      <c r="V9" s="256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132"/>
      <c r="AI9" s="429"/>
      <c r="AJ9" s="132"/>
    </row>
    <row r="10" spans="1:40" s="35" customFormat="1" ht="30" customHeight="1">
      <c r="A10" s="742" t="s">
        <v>39</v>
      </c>
      <c r="B10" s="46" t="s">
        <v>39</v>
      </c>
      <c r="C10" s="46" t="s">
        <v>40</v>
      </c>
      <c r="D10" s="46" t="s">
        <v>41</v>
      </c>
      <c r="E10" s="47" t="s">
        <v>42</v>
      </c>
      <c r="F10" s="48" t="s">
        <v>43</v>
      </c>
      <c r="G10" s="49" t="s">
        <v>44</v>
      </c>
      <c r="H10" s="113" t="s">
        <v>45</v>
      </c>
      <c r="I10" s="49" t="s">
        <v>46</v>
      </c>
      <c r="J10" s="49" t="s">
        <v>47</v>
      </c>
      <c r="K10" s="50">
        <f>W10</f>
        <v>6703.6602614965477</v>
      </c>
      <c r="L10" s="51" t="s">
        <v>48</v>
      </c>
      <c r="M10" s="179">
        <f t="shared" ref="M10:M19" si="0">Z10</f>
        <v>21.259259259259256</v>
      </c>
      <c r="N10" s="138" t="s">
        <v>49</v>
      </c>
      <c r="O10" s="712">
        <v>32000</v>
      </c>
      <c r="P10" s="325">
        <f>1.59034653465347*O10</f>
        <v>50891.089108911037</v>
      </c>
      <c r="Q10" s="326">
        <f>1.86324257425743*O10</f>
        <v>59623.762376237755</v>
      </c>
      <c r="R10" s="78">
        <f>SUM(O10:Q10)</f>
        <v>142514.8514851488</v>
      </c>
      <c r="S10" s="51">
        <f>R10*6.5%</f>
        <v>9263.4653465346728</v>
      </c>
      <c r="T10" s="81">
        <f t="shared" ref="T10:T19" si="1">SUM(R10:S10)</f>
        <v>151778.31683168348</v>
      </c>
      <c r="U10" s="152">
        <f>W10/V10</f>
        <v>25783.308698063644</v>
      </c>
      <c r="V10" s="250">
        <v>0.26</v>
      </c>
      <c r="W10" s="162">
        <f t="shared" ref="W10:W19" si="2">R10/Z10</f>
        <v>6703.6602614965477</v>
      </c>
      <c r="X10" s="196">
        <v>0.02</v>
      </c>
      <c r="Y10" s="335">
        <f>W10-(W10*X10)</f>
        <v>6569.5870562666169</v>
      </c>
      <c r="Z10" s="197">
        <v>21.259259259259256</v>
      </c>
      <c r="AA10" s="332">
        <v>0.1881444227485283</v>
      </c>
      <c r="AB10" s="335">
        <f>Y10*(1-AA10)</f>
        <v>5333.5558918691313</v>
      </c>
      <c r="AC10" s="87">
        <f>IFERROR(R10/AB10,"-")</f>
        <v>26.720419617690521</v>
      </c>
      <c r="AD10" s="84">
        <f>Y10*AF10</f>
        <v>2288.4061579328713</v>
      </c>
      <c r="AE10" s="377">
        <f t="shared" ref="AE10:AE20" si="3">R10/AD10</f>
        <v>62.27690438216753</v>
      </c>
      <c r="AF10" s="198">
        <v>0.34833333333333333</v>
      </c>
      <c r="AG10" s="95" t="s">
        <v>50</v>
      </c>
      <c r="AH10" s="717"/>
      <c r="AI10" s="425">
        <v>162</v>
      </c>
      <c r="AJ10" s="426" t="s">
        <v>51</v>
      </c>
      <c r="AL10" s="466"/>
      <c r="AM10" s="465"/>
      <c r="AN10" s="466"/>
    </row>
    <row r="11" spans="1:40" s="35" customFormat="1" ht="30" customHeight="1">
      <c r="A11" s="743"/>
      <c r="B11" s="19" t="s">
        <v>39</v>
      </c>
      <c r="C11" s="19" t="s">
        <v>52</v>
      </c>
      <c r="D11" s="19" t="s">
        <v>41</v>
      </c>
      <c r="E11" s="31" t="s">
        <v>42</v>
      </c>
      <c r="F11" s="32" t="s">
        <v>53</v>
      </c>
      <c r="G11" s="33" t="s">
        <v>44</v>
      </c>
      <c r="H11" s="60" t="s">
        <v>45</v>
      </c>
      <c r="I11" s="33" t="s">
        <v>46</v>
      </c>
      <c r="J11" s="33" t="s">
        <v>47</v>
      </c>
      <c r="K11" s="34">
        <f t="shared" ref="K11:K39" si="4">W11</f>
        <v>8196.6341776103072</v>
      </c>
      <c r="L11" s="3" t="s">
        <v>48</v>
      </c>
      <c r="M11" s="180">
        <f t="shared" si="0"/>
        <v>24.448148148148146</v>
      </c>
      <c r="N11" s="139" t="s">
        <v>49</v>
      </c>
      <c r="O11" s="713">
        <v>57000</v>
      </c>
      <c r="P11" s="3">
        <f>1.19331751680506*O11</f>
        <v>68019.098457888424</v>
      </c>
      <c r="Q11" s="82">
        <f>1.32234084618426*O11</f>
        <v>75373.428232502818</v>
      </c>
      <c r="R11" s="79">
        <f t="shared" ref="R11:R25" si="5">SUM(O11:Q11)</f>
        <v>200392.52669039124</v>
      </c>
      <c r="S11" s="3">
        <f t="shared" ref="S11:S23" si="6">R11*6.5%</f>
        <v>13025.514234875431</v>
      </c>
      <c r="T11" s="82">
        <f t="shared" si="1"/>
        <v>213418.04092526669</v>
      </c>
      <c r="U11" s="153">
        <f t="shared" ref="U11:U39" si="7">W11/V11</f>
        <v>54644.227850735384</v>
      </c>
      <c r="V11" s="251">
        <v>0.15</v>
      </c>
      <c r="W11" s="163">
        <f t="shared" si="2"/>
        <v>8196.6341776103072</v>
      </c>
      <c r="X11" s="199">
        <v>3.5000000000000003E-2</v>
      </c>
      <c r="Y11" s="334">
        <f>W11-(W11*X11)</f>
        <v>7909.7519813939462</v>
      </c>
      <c r="Z11" s="200">
        <v>24.448148148148146</v>
      </c>
      <c r="AA11" s="328">
        <v>0.24590707096541681</v>
      </c>
      <c r="AB11" s="334">
        <f>Y11*(1-AA11)</f>
        <v>5964.6880395864591</v>
      </c>
      <c r="AC11" s="88">
        <f>R11/AB11</f>
        <v>33.596480714569736</v>
      </c>
      <c r="AD11" s="85">
        <f>Y11*AF11</f>
        <v>1886.9152782280892</v>
      </c>
      <c r="AE11" s="376">
        <f t="shared" si="3"/>
        <v>106.20112572227947</v>
      </c>
      <c r="AF11" s="201">
        <v>0.23855555555555555</v>
      </c>
      <c r="AG11" s="96" t="s">
        <v>50</v>
      </c>
      <c r="AH11" s="717"/>
      <c r="AI11" s="427">
        <v>162</v>
      </c>
      <c r="AJ11" s="428" t="s">
        <v>51</v>
      </c>
      <c r="AL11" s="466"/>
      <c r="AM11" s="465"/>
      <c r="AN11" s="466"/>
    </row>
    <row r="12" spans="1:40" s="35" customFormat="1" ht="30" customHeight="1">
      <c r="A12" s="743"/>
      <c r="B12" s="58" t="s">
        <v>39</v>
      </c>
      <c r="C12" s="58" t="s">
        <v>52</v>
      </c>
      <c r="D12" s="58" t="s">
        <v>41</v>
      </c>
      <c r="E12" s="59" t="s">
        <v>42</v>
      </c>
      <c r="F12" s="73" t="s">
        <v>54</v>
      </c>
      <c r="G12" s="60" t="s">
        <v>44</v>
      </c>
      <c r="H12" s="60" t="s">
        <v>55</v>
      </c>
      <c r="I12" s="60" t="s">
        <v>46</v>
      </c>
      <c r="J12" s="60" t="s">
        <v>47</v>
      </c>
      <c r="K12" s="61">
        <f t="shared" ref="K12" si="8">W12</f>
        <v>206.30596607454905</v>
      </c>
      <c r="L12" s="62" t="s">
        <v>48</v>
      </c>
      <c r="M12" s="181">
        <f t="shared" si="0"/>
        <v>136</v>
      </c>
      <c r="N12" s="140" t="s">
        <v>49</v>
      </c>
      <c r="O12" s="714">
        <v>6300</v>
      </c>
      <c r="P12" s="62">
        <f>1.59034653465347*O12</f>
        <v>10019.18316831686</v>
      </c>
      <c r="Q12" s="83">
        <f>1.86324257425743*O12</f>
        <v>11738.428217821809</v>
      </c>
      <c r="R12" s="80">
        <f>SUM(O12:Q12)</f>
        <v>28057.611386138669</v>
      </c>
      <c r="S12" s="62">
        <f t="shared" ref="S12" si="9">R12*6.5%</f>
        <v>1823.7447400990136</v>
      </c>
      <c r="T12" s="83">
        <f t="shared" si="1"/>
        <v>29881.356126237682</v>
      </c>
      <c r="U12" s="154">
        <f t="shared" ref="U12" si="10">W12/V12</f>
        <v>10305.388558359728</v>
      </c>
      <c r="V12" s="252">
        <v>2.0019232162497524E-2</v>
      </c>
      <c r="W12" s="164">
        <f t="shared" si="2"/>
        <v>206.30596607454905</v>
      </c>
      <c r="X12" s="204">
        <v>0</v>
      </c>
      <c r="Y12" s="327">
        <f t="shared" ref="Y12" si="11">W12-(W12*X12)</f>
        <v>206.30596607454905</v>
      </c>
      <c r="Z12" s="202">
        <v>136</v>
      </c>
      <c r="AA12" s="336">
        <v>0.13161290322580643</v>
      </c>
      <c r="AB12" s="327">
        <f t="shared" ref="AB12" si="12">Y12*(1-AA12)</f>
        <v>179.15343892667292</v>
      </c>
      <c r="AC12" s="89">
        <f>R12/AB12</f>
        <v>156.61218424962851</v>
      </c>
      <c r="AD12" s="86">
        <f t="shared" ref="AD12" si="13">Y12*AF12</f>
        <v>91.462311626383411</v>
      </c>
      <c r="AE12" s="77">
        <f t="shared" si="3"/>
        <v>306.76691729323306</v>
      </c>
      <c r="AF12" s="203">
        <v>0.4433333333333333</v>
      </c>
      <c r="AG12" s="97" t="s">
        <v>50</v>
      </c>
      <c r="AH12" s="1"/>
      <c r="AI12" s="432">
        <v>162</v>
      </c>
      <c r="AJ12" s="433" t="s">
        <v>51</v>
      </c>
      <c r="AL12" s="15"/>
      <c r="AM12" s="15"/>
      <c r="AN12" s="15"/>
    </row>
    <row r="13" spans="1:40" s="35" customFormat="1" ht="30" customHeight="1" thickBot="1">
      <c r="A13" s="743"/>
      <c r="B13" s="29" t="s">
        <v>39</v>
      </c>
      <c r="C13" s="29" t="s">
        <v>40</v>
      </c>
      <c r="D13" s="29" t="s">
        <v>41</v>
      </c>
      <c r="E13" s="52" t="s">
        <v>42</v>
      </c>
      <c r="F13" s="133" t="s">
        <v>56</v>
      </c>
      <c r="G13" s="53" t="s">
        <v>57</v>
      </c>
      <c r="H13" s="53" t="s">
        <v>58</v>
      </c>
      <c r="I13" s="53" t="s">
        <v>59</v>
      </c>
      <c r="J13" s="53" t="s">
        <v>47</v>
      </c>
      <c r="K13" s="54">
        <f t="shared" ref="K13" si="14">W13</f>
        <v>5647.0588235294117</v>
      </c>
      <c r="L13" s="55" t="s">
        <v>48</v>
      </c>
      <c r="M13" s="188">
        <f t="shared" ref="M13" si="15">Z13</f>
        <v>8.5</v>
      </c>
      <c r="N13" s="141" t="s">
        <v>49</v>
      </c>
      <c r="O13" s="715">
        <v>16000</v>
      </c>
      <c r="P13" s="55">
        <f>O13</f>
        <v>16000</v>
      </c>
      <c r="Q13" s="148">
        <f>P13</f>
        <v>16000</v>
      </c>
      <c r="R13" s="147">
        <f t="shared" si="5"/>
        <v>48000</v>
      </c>
      <c r="S13" s="55">
        <f t="shared" ref="S13" si="16">R13*6.5%</f>
        <v>3120</v>
      </c>
      <c r="T13" s="148">
        <f t="shared" si="1"/>
        <v>51120</v>
      </c>
      <c r="U13" s="155">
        <f t="shared" ref="U13" si="17">W13/V13</f>
        <v>653443.33352136565</v>
      </c>
      <c r="V13" s="253">
        <v>8.6420023494581562E-3</v>
      </c>
      <c r="W13" s="165">
        <f t="shared" si="2"/>
        <v>5647.0588235294117</v>
      </c>
      <c r="X13" s="205">
        <v>0.5</v>
      </c>
      <c r="Y13" s="333">
        <f>W13-(W13*X13)</f>
        <v>2823.5294117647059</v>
      </c>
      <c r="Z13" s="206">
        <v>8.5</v>
      </c>
      <c r="AA13" s="329">
        <v>0.44556451612903225</v>
      </c>
      <c r="AB13" s="333">
        <f t="shared" ref="AB13" si="18">Y13*(1-AA13)</f>
        <v>1565.4648956356737</v>
      </c>
      <c r="AC13" s="177">
        <f>R13/AB13</f>
        <v>30.66181818181818</v>
      </c>
      <c r="AD13" s="247">
        <f t="shared" ref="AD13" si="19">Y13*AF13</f>
        <v>226.50980392156862</v>
      </c>
      <c r="AE13" s="378">
        <f t="shared" si="3"/>
        <v>211.91135734072023</v>
      </c>
      <c r="AF13" s="207">
        <v>8.0222222222222223E-2</v>
      </c>
      <c r="AG13" s="302" t="s">
        <v>50</v>
      </c>
      <c r="AH13" s="1"/>
      <c r="AI13" s="430">
        <v>162</v>
      </c>
      <c r="AJ13" s="431" t="s">
        <v>51</v>
      </c>
    </row>
    <row r="14" spans="1:40" s="35" customFormat="1" ht="30" customHeight="1">
      <c r="A14" s="742" t="s">
        <v>39</v>
      </c>
      <c r="B14" s="46" t="s">
        <v>39</v>
      </c>
      <c r="C14" s="46" t="s">
        <v>40</v>
      </c>
      <c r="D14" s="46" t="s">
        <v>41</v>
      </c>
      <c r="E14" s="47" t="s">
        <v>60</v>
      </c>
      <c r="F14" s="48" t="s">
        <v>43</v>
      </c>
      <c r="G14" s="49" t="s">
        <v>44</v>
      </c>
      <c r="H14" s="113" t="s">
        <v>45</v>
      </c>
      <c r="I14" s="49" t="s">
        <v>46</v>
      </c>
      <c r="J14" s="49" t="s">
        <v>47</v>
      </c>
      <c r="K14" s="50">
        <f t="shared" si="4"/>
        <v>3651.0595839263292</v>
      </c>
      <c r="L14" s="51" t="s">
        <v>48</v>
      </c>
      <c r="M14" s="179">
        <f t="shared" si="0"/>
        <v>22.078512009546493</v>
      </c>
      <c r="N14" s="138" t="s">
        <v>49</v>
      </c>
      <c r="O14" s="712">
        <v>18100</v>
      </c>
      <c r="P14" s="51">
        <f>1.59034653465347*O14</f>
        <v>28785.272277227807</v>
      </c>
      <c r="Q14" s="81">
        <f>1.86324257425743*O14</f>
        <v>33724.690594059481</v>
      </c>
      <c r="R14" s="78">
        <f>SUM(O14:Q14)</f>
        <v>80609.96287128728</v>
      </c>
      <c r="S14" s="51">
        <f t="shared" ref="S14:S15" si="20">R14*6.5%</f>
        <v>5239.6475866336732</v>
      </c>
      <c r="T14" s="81">
        <f t="shared" si="1"/>
        <v>85849.61045792095</v>
      </c>
      <c r="U14" s="152">
        <f t="shared" si="7"/>
        <v>17385.998018696806</v>
      </c>
      <c r="V14" s="250">
        <v>0.21</v>
      </c>
      <c r="W14" s="162">
        <f t="shared" si="2"/>
        <v>3651.0595839263292</v>
      </c>
      <c r="X14" s="196">
        <v>0.01</v>
      </c>
      <c r="Y14" s="335">
        <f>W14-(W14*X14)</f>
        <v>3614.5489880870659</v>
      </c>
      <c r="Z14" s="208">
        <v>22.078512009546493</v>
      </c>
      <c r="AA14" s="332">
        <v>0.23354106849536299</v>
      </c>
      <c r="AB14" s="335">
        <f>Y14*(1-AA14)</f>
        <v>2770.4033552803799</v>
      </c>
      <c r="AC14" s="87">
        <f>IFERROR(R14/AB14,"-")</f>
        <v>29.096832675157195</v>
      </c>
      <c r="AD14" s="84">
        <f>Y14*AF14</f>
        <v>1030.1464616048138</v>
      </c>
      <c r="AE14" s="377">
        <f t="shared" si="3"/>
        <v>78.250972920597178</v>
      </c>
      <c r="AF14" s="198">
        <v>0.28500000000000003</v>
      </c>
      <c r="AG14" s="209">
        <v>0.85</v>
      </c>
      <c r="AH14" s="717"/>
      <c r="AI14" s="425">
        <v>162</v>
      </c>
      <c r="AJ14" s="426" t="s">
        <v>51</v>
      </c>
      <c r="AL14" s="466"/>
      <c r="AM14" s="465"/>
      <c r="AN14" s="466"/>
    </row>
    <row r="15" spans="1:40" s="35" customFormat="1" ht="30" customHeight="1">
      <c r="A15" s="743"/>
      <c r="B15" s="58" t="s">
        <v>39</v>
      </c>
      <c r="C15" s="58" t="s">
        <v>52</v>
      </c>
      <c r="D15" s="58" t="s">
        <v>41</v>
      </c>
      <c r="E15" s="59" t="s">
        <v>60</v>
      </c>
      <c r="F15" s="73" t="s">
        <v>53</v>
      </c>
      <c r="G15" s="60" t="s">
        <v>44</v>
      </c>
      <c r="H15" s="33" t="s">
        <v>45</v>
      </c>
      <c r="I15" s="60" t="s">
        <v>46</v>
      </c>
      <c r="J15" s="60" t="s">
        <v>47</v>
      </c>
      <c r="K15" s="61">
        <f t="shared" si="4"/>
        <v>5634.4475997428808</v>
      </c>
      <c r="L15" s="62" t="s">
        <v>48</v>
      </c>
      <c r="M15" s="181">
        <f t="shared" si="0"/>
        <v>24.958317923835168</v>
      </c>
      <c r="N15" s="140" t="s">
        <v>49</v>
      </c>
      <c r="O15" s="713">
        <v>40000</v>
      </c>
      <c r="P15" s="3">
        <f>1.19331751680506*O15</f>
        <v>47732.700672202402</v>
      </c>
      <c r="Q15" s="82">
        <f>1.32234084618426*O15</f>
        <v>52893.633847370402</v>
      </c>
      <c r="R15" s="80">
        <f t="shared" ref="R15" si="21">SUM(O15:Q15)</f>
        <v>140626.33451957279</v>
      </c>
      <c r="S15" s="62">
        <f t="shared" si="20"/>
        <v>9140.7117437722318</v>
      </c>
      <c r="T15" s="83">
        <f t="shared" si="1"/>
        <v>149767.04626334502</v>
      </c>
      <c r="U15" s="154">
        <f t="shared" si="7"/>
        <v>43341.904613406776</v>
      </c>
      <c r="V15" s="252">
        <v>0.13</v>
      </c>
      <c r="W15" s="164">
        <f t="shared" si="2"/>
        <v>5634.4475997428808</v>
      </c>
      <c r="X15" s="204">
        <v>0.03</v>
      </c>
      <c r="Y15" s="327">
        <f>W15-(W15*X15)</f>
        <v>5465.4141717505945</v>
      </c>
      <c r="Z15" s="210">
        <v>24.958317923835168</v>
      </c>
      <c r="AA15" s="336">
        <v>0.26173020527859236</v>
      </c>
      <c r="AB15" s="327">
        <f>Y15*(1-AA15)</f>
        <v>4034.9501986457835</v>
      </c>
      <c r="AC15" s="89">
        <f t="shared" ref="AC15:AC20" si="22">R15/AB15</f>
        <v>34.852062007300617</v>
      </c>
      <c r="AD15" s="86">
        <f>Y15*AF15</f>
        <v>1384.5715901768172</v>
      </c>
      <c r="AE15" s="77">
        <f t="shared" si="3"/>
        <v>101.56667630426684</v>
      </c>
      <c r="AF15" s="203">
        <v>0.2533333333333333</v>
      </c>
      <c r="AG15" s="171">
        <v>0.78381209893935055</v>
      </c>
      <c r="AH15" s="717"/>
      <c r="AI15" s="427">
        <v>162</v>
      </c>
      <c r="AJ15" s="428" t="s">
        <v>51</v>
      </c>
      <c r="AL15" s="466"/>
      <c r="AM15" s="465"/>
      <c r="AN15" s="466"/>
    </row>
    <row r="16" spans="1:40" s="35" customFormat="1" ht="30" customHeight="1">
      <c r="A16" s="743"/>
      <c r="B16" s="19" t="s">
        <v>39</v>
      </c>
      <c r="C16" s="19" t="s">
        <v>40</v>
      </c>
      <c r="D16" s="19" t="s">
        <v>41</v>
      </c>
      <c r="E16" s="31" t="s">
        <v>60</v>
      </c>
      <c r="F16" s="118" t="s">
        <v>61</v>
      </c>
      <c r="G16" s="33" t="s">
        <v>57</v>
      </c>
      <c r="H16" s="33" t="s">
        <v>58</v>
      </c>
      <c r="I16" s="33" t="s">
        <v>62</v>
      </c>
      <c r="J16" s="33" t="s">
        <v>47</v>
      </c>
      <c r="K16" s="34">
        <f t="shared" ref="K16" si="23">W16</f>
        <v>12901.185770750988</v>
      </c>
      <c r="L16" s="3" t="s">
        <v>48</v>
      </c>
      <c r="M16" s="180">
        <f t="shared" si="0"/>
        <v>7.4411764705882355</v>
      </c>
      <c r="N16" s="139" t="s">
        <v>49</v>
      </c>
      <c r="O16" s="713">
        <v>32000</v>
      </c>
      <c r="P16" s="3">
        <f>O16</f>
        <v>32000</v>
      </c>
      <c r="Q16" s="82">
        <f>O16</f>
        <v>32000</v>
      </c>
      <c r="R16" s="79">
        <f t="shared" ref="R16" si="24">SUM(O16:Q16)</f>
        <v>96000</v>
      </c>
      <c r="S16" s="3">
        <f t="shared" ref="S16" si="25">R16*6.5%</f>
        <v>6240</v>
      </c>
      <c r="T16" s="82">
        <f t="shared" si="1"/>
        <v>102240</v>
      </c>
      <c r="U16" s="153">
        <f t="shared" ref="U16" si="26">W16/V16</f>
        <v>1843026.5386787124</v>
      </c>
      <c r="V16" s="251">
        <v>7.0000000000000001E-3</v>
      </c>
      <c r="W16" s="163">
        <f t="shared" si="2"/>
        <v>12901.185770750988</v>
      </c>
      <c r="X16" s="199">
        <v>0.44</v>
      </c>
      <c r="Y16" s="334">
        <f t="shared" ref="Y16" si="27">W16-(W16*X16)</f>
        <v>7224.664031620553</v>
      </c>
      <c r="Z16" s="211">
        <v>7.4411764705882355</v>
      </c>
      <c r="AA16" s="328">
        <v>0.42774193548387096</v>
      </c>
      <c r="AB16" s="334">
        <f t="shared" ref="AB16" si="28">Y16*(1-AA16)</f>
        <v>4134.3722555144714</v>
      </c>
      <c r="AC16" s="88">
        <f t="shared" si="22"/>
        <v>23.219970062433092</v>
      </c>
      <c r="AD16" s="85">
        <f t="shared" ref="AD16" si="29">Y16*AF16</f>
        <v>686.34308300395253</v>
      </c>
      <c r="AE16" s="376">
        <f t="shared" si="3"/>
        <v>139.87173816895179</v>
      </c>
      <c r="AF16" s="201">
        <v>9.5000000000000001E-2</v>
      </c>
      <c r="AG16" s="96" t="s">
        <v>50</v>
      </c>
      <c r="AH16" s="1"/>
      <c r="AI16" s="432">
        <v>162</v>
      </c>
      <c r="AJ16" s="433" t="s">
        <v>51</v>
      </c>
    </row>
    <row r="17" spans="1:40" s="35" customFormat="1" ht="30" customHeight="1">
      <c r="A17" s="743"/>
      <c r="B17" s="19" t="s">
        <v>39</v>
      </c>
      <c r="C17" s="19" t="s">
        <v>40</v>
      </c>
      <c r="D17" s="19" t="s">
        <v>41</v>
      </c>
      <c r="E17" s="31" t="s">
        <v>60</v>
      </c>
      <c r="F17" s="32" t="s">
        <v>63</v>
      </c>
      <c r="G17" s="33" t="s">
        <v>57</v>
      </c>
      <c r="H17" s="33" t="s">
        <v>58</v>
      </c>
      <c r="I17" s="33" t="s">
        <v>64</v>
      </c>
      <c r="J17" s="33" t="s">
        <v>47</v>
      </c>
      <c r="K17" s="34">
        <f t="shared" ref="K17:K19" si="30">W17</f>
        <v>8431.5619967793882</v>
      </c>
      <c r="L17" s="3" t="s">
        <v>48</v>
      </c>
      <c r="M17" s="180">
        <f t="shared" si="0"/>
        <v>7.8277310924369745</v>
      </c>
      <c r="N17" s="139" t="s">
        <v>49</v>
      </c>
      <c r="O17" s="713">
        <v>22000</v>
      </c>
      <c r="P17" s="3">
        <f>O17</f>
        <v>22000</v>
      </c>
      <c r="Q17" s="82">
        <f>O17</f>
        <v>22000</v>
      </c>
      <c r="R17" s="79">
        <f t="shared" ref="R17" si="31">SUM(O17:Q17)</f>
        <v>66000</v>
      </c>
      <c r="S17" s="3">
        <f t="shared" ref="S17:S19" si="32">R17*6.5%</f>
        <v>4290</v>
      </c>
      <c r="T17" s="82">
        <f t="shared" si="1"/>
        <v>70290</v>
      </c>
      <c r="U17" s="153">
        <f t="shared" ref="U17:U19" si="33">W17/V17</f>
        <v>1053945.2495974235</v>
      </c>
      <c r="V17" s="251">
        <v>8.0000000000000002E-3</v>
      </c>
      <c r="W17" s="163">
        <f t="shared" si="2"/>
        <v>8431.5619967793882</v>
      </c>
      <c r="X17" s="199">
        <v>0.45</v>
      </c>
      <c r="Y17" s="334">
        <f t="shared" ref="Y17:Y19" si="34">W17-(W17*X17)</f>
        <v>4637.3590982286632</v>
      </c>
      <c r="Z17" s="211">
        <v>7.8277310924369745</v>
      </c>
      <c r="AA17" s="328">
        <v>0.42774193548387096</v>
      </c>
      <c r="AB17" s="334">
        <f t="shared" ref="AB17:AB19" si="35">Y17*(1-AA17)</f>
        <v>2653.7661420185964</v>
      </c>
      <c r="AC17" s="88">
        <f t="shared" si="22"/>
        <v>24.870315042077095</v>
      </c>
      <c r="AD17" s="85">
        <f t="shared" ref="AD17:AD19" si="36">Y17*AF17</f>
        <v>489.4990159241367</v>
      </c>
      <c r="AE17" s="376">
        <f t="shared" si="3"/>
        <v>134.83173173575651</v>
      </c>
      <c r="AF17" s="201">
        <v>0.10555555555555556</v>
      </c>
      <c r="AG17" s="96" t="s">
        <v>50</v>
      </c>
      <c r="AH17" s="1"/>
      <c r="AI17" s="432">
        <v>162</v>
      </c>
      <c r="AJ17" s="433" t="s">
        <v>51</v>
      </c>
    </row>
    <row r="18" spans="1:40" s="35" customFormat="1" ht="30" customHeight="1">
      <c r="A18" s="743"/>
      <c r="B18" s="19" t="s">
        <v>39</v>
      </c>
      <c r="C18" s="19" t="s">
        <v>52</v>
      </c>
      <c r="D18" s="19" t="s">
        <v>41</v>
      </c>
      <c r="E18" s="31" t="s">
        <v>60</v>
      </c>
      <c r="F18" s="32" t="s">
        <v>65</v>
      </c>
      <c r="G18" s="33" t="s">
        <v>57</v>
      </c>
      <c r="H18" s="33" t="s">
        <v>58</v>
      </c>
      <c r="I18" s="33" t="s">
        <v>64</v>
      </c>
      <c r="J18" s="33" t="s">
        <v>47</v>
      </c>
      <c r="K18" s="34">
        <f t="shared" si="30"/>
        <v>14782.608695652174</v>
      </c>
      <c r="L18" s="3" t="s">
        <v>48</v>
      </c>
      <c r="M18" s="180">
        <f t="shared" si="0"/>
        <v>8.117647058823529</v>
      </c>
      <c r="N18" s="139" t="s">
        <v>49</v>
      </c>
      <c r="O18" s="713">
        <v>40000</v>
      </c>
      <c r="P18" s="3">
        <f t="shared" ref="P18:P19" si="37">O18</f>
        <v>40000</v>
      </c>
      <c r="Q18" s="82">
        <f t="shared" ref="Q18:Q19" si="38">O18</f>
        <v>40000</v>
      </c>
      <c r="R18" s="79">
        <f t="shared" ref="R18" si="39">SUM(O18:Q18)</f>
        <v>120000</v>
      </c>
      <c r="S18" s="3">
        <f t="shared" si="32"/>
        <v>7800</v>
      </c>
      <c r="T18" s="82">
        <f t="shared" si="1"/>
        <v>127800</v>
      </c>
      <c r="U18" s="153">
        <f t="shared" si="33"/>
        <v>2687747.0355731226</v>
      </c>
      <c r="V18" s="251">
        <v>5.4999999999999997E-3</v>
      </c>
      <c r="W18" s="163">
        <f t="shared" si="2"/>
        <v>14782.608695652174</v>
      </c>
      <c r="X18" s="199">
        <v>0.42</v>
      </c>
      <c r="Y18" s="334">
        <f t="shared" si="34"/>
        <v>8573.9130434782601</v>
      </c>
      <c r="Z18" s="211">
        <v>8.117647058823529</v>
      </c>
      <c r="AA18" s="328">
        <v>0.42774193548387096</v>
      </c>
      <c r="AB18" s="334">
        <f t="shared" si="35"/>
        <v>4906.4908835904625</v>
      </c>
      <c r="AC18" s="88">
        <f t="shared" si="22"/>
        <v>24.457397934098804</v>
      </c>
      <c r="AD18" s="85">
        <f t="shared" si="36"/>
        <v>1312.2850241545891</v>
      </c>
      <c r="AE18" s="376">
        <f t="shared" si="3"/>
        <v>91.443549069918987</v>
      </c>
      <c r="AF18" s="201">
        <v>0.15305555555555553</v>
      </c>
      <c r="AG18" s="96" t="s">
        <v>50</v>
      </c>
      <c r="AH18" s="1"/>
      <c r="AI18" s="427">
        <v>162</v>
      </c>
      <c r="AJ18" s="428" t="s">
        <v>51</v>
      </c>
    </row>
    <row r="19" spans="1:40" s="35" customFormat="1" ht="30" customHeight="1" thickBot="1">
      <c r="A19" s="743"/>
      <c r="B19" s="42" t="s">
        <v>39</v>
      </c>
      <c r="C19" s="42" t="s">
        <v>66</v>
      </c>
      <c r="D19" s="42" t="s">
        <v>41</v>
      </c>
      <c r="E19" s="283" t="s">
        <v>60</v>
      </c>
      <c r="F19" s="284" t="s">
        <v>67</v>
      </c>
      <c r="G19" s="43" t="s">
        <v>57</v>
      </c>
      <c r="H19" s="43" t="s">
        <v>58</v>
      </c>
      <c r="I19" s="43" t="s">
        <v>68</v>
      </c>
      <c r="J19" s="43" t="s">
        <v>47</v>
      </c>
      <c r="K19" s="44">
        <f t="shared" si="30"/>
        <v>14551.630434782608</v>
      </c>
      <c r="L19" s="45" t="s">
        <v>48</v>
      </c>
      <c r="M19" s="186">
        <f t="shared" si="0"/>
        <v>6.1848739495798322</v>
      </c>
      <c r="N19" s="142" t="s">
        <v>49</v>
      </c>
      <c r="O19" s="145">
        <v>30000</v>
      </c>
      <c r="P19" s="45">
        <f t="shared" si="37"/>
        <v>30000</v>
      </c>
      <c r="Q19" s="146">
        <f t="shared" si="38"/>
        <v>30000</v>
      </c>
      <c r="R19" s="145">
        <f t="shared" ref="R19" si="40">SUM(O19:Q19)</f>
        <v>90000</v>
      </c>
      <c r="S19" s="45">
        <f t="shared" si="32"/>
        <v>5850</v>
      </c>
      <c r="T19" s="146">
        <f t="shared" si="1"/>
        <v>95850</v>
      </c>
      <c r="U19" s="156">
        <f t="shared" si="33"/>
        <v>3637907.6086956519</v>
      </c>
      <c r="V19" s="259">
        <v>4.0000000000000001E-3</v>
      </c>
      <c r="W19" s="166">
        <f t="shared" si="2"/>
        <v>14551.630434782608</v>
      </c>
      <c r="X19" s="285">
        <v>0.47</v>
      </c>
      <c r="Y19" s="339">
        <f t="shared" si="34"/>
        <v>7712.364130434783</v>
      </c>
      <c r="Z19" s="286">
        <v>6.1848739495798322</v>
      </c>
      <c r="AA19" s="340">
        <v>0.42774193548387096</v>
      </c>
      <c r="AB19" s="339">
        <f t="shared" si="35"/>
        <v>4413.4625701262275</v>
      </c>
      <c r="AC19" s="287">
        <f t="shared" si="22"/>
        <v>20.392152095996124</v>
      </c>
      <c r="AD19" s="249">
        <f t="shared" si="36"/>
        <v>748.95624999999995</v>
      </c>
      <c r="AE19" s="175">
        <f t="shared" si="3"/>
        <v>120.16723273221901</v>
      </c>
      <c r="AF19" s="215">
        <v>9.7111111111111106E-2</v>
      </c>
      <c r="AG19" s="288" t="s">
        <v>50</v>
      </c>
      <c r="AH19" s="1"/>
      <c r="AI19" s="430">
        <v>162</v>
      </c>
      <c r="AJ19" s="431" t="s">
        <v>51</v>
      </c>
    </row>
    <row r="20" spans="1:40" s="72" customFormat="1" ht="30" customHeight="1" thickBot="1">
      <c r="A20" s="98" t="str">
        <f>_xlfn.CONCAT("Total ",A9)</f>
        <v>Total Heating Brush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43">
        <f t="shared" ref="O20:U20" si="41">SUM(O10:O19)</f>
        <v>293400</v>
      </c>
      <c r="P20" s="150">
        <f t="shared" si="41"/>
        <v>345447.34368454653</v>
      </c>
      <c r="Q20" s="149">
        <f t="shared" si="41"/>
        <v>373353.94326799223</v>
      </c>
      <c r="R20" s="143">
        <f t="shared" si="41"/>
        <v>1012201.2869525388</v>
      </c>
      <c r="S20" s="150">
        <f t="shared" si="41"/>
        <v>65793.083651915018</v>
      </c>
      <c r="T20" s="144">
        <f t="shared" si="41"/>
        <v>1077994.3706044538</v>
      </c>
      <c r="U20" s="157">
        <f t="shared" si="41"/>
        <v>10027530.593805538</v>
      </c>
      <c r="V20" s="254">
        <f>W20/U20</f>
        <v>8.0484574497534864E-3</v>
      </c>
      <c r="W20" s="167">
        <f>SUM(W10:W19)</f>
        <v>80706.153310345195</v>
      </c>
      <c r="X20" s="178">
        <f>1-Y20/W20</f>
        <v>0.32176871732922363</v>
      </c>
      <c r="Y20" s="168">
        <f>SUM(Y10:Y19)</f>
        <v>54737.437879099743</v>
      </c>
      <c r="Z20" s="191">
        <f>R20/W20</f>
        <v>12.541810573727236</v>
      </c>
      <c r="AA20" s="169">
        <f>1-AB20/Y20</f>
        <v>0.34311306731945224</v>
      </c>
      <c r="AB20" s="168">
        <f>SUM(AB10:AB19)</f>
        <v>35956.307671193856</v>
      </c>
      <c r="AC20" s="170">
        <f t="shared" si="22"/>
        <v>28.150868443131515</v>
      </c>
      <c r="AD20" s="109">
        <f>SUM(AD10:AD19)</f>
        <v>10145.094976573222</v>
      </c>
      <c r="AE20" s="106">
        <f t="shared" si="3"/>
        <v>99.772480128563259</v>
      </c>
      <c r="AF20" s="110">
        <f>AD20/Y20</f>
        <v>0.18534106398953135</v>
      </c>
      <c r="AG20" s="111">
        <f>(U14+U15)/(U14/AG14+U15/AG15)</f>
        <v>0.80168414695961676</v>
      </c>
      <c r="AH20" s="1"/>
      <c r="AI20" s="434"/>
      <c r="AJ20" s="435"/>
    </row>
    <row r="21" spans="1:40" ht="19.95" customHeight="1" thickBot="1">
      <c r="A21" s="131" t="s">
        <v>69</v>
      </c>
      <c r="B21" s="130"/>
      <c r="C21" s="90"/>
      <c r="D21" s="91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159"/>
      <c r="T21" s="159"/>
      <c r="U21" s="91"/>
      <c r="V21" s="257"/>
      <c r="W21" s="91"/>
      <c r="X21" s="91"/>
      <c r="Y21" s="91"/>
      <c r="Z21" s="190"/>
      <c r="AA21" s="91"/>
      <c r="AB21" s="91"/>
      <c r="AC21" s="174"/>
      <c r="AD21" s="248"/>
      <c r="AE21" s="174"/>
      <c r="AF21" s="176"/>
      <c r="AG21" s="173"/>
      <c r="AI21" s="429"/>
      <c r="AJ21" s="132"/>
    </row>
    <row r="22" spans="1:40" s="35" customFormat="1" ht="30" customHeight="1">
      <c r="A22" s="744" t="s">
        <v>70</v>
      </c>
      <c r="B22" s="46" t="s">
        <v>70</v>
      </c>
      <c r="C22" s="46" t="s">
        <v>40</v>
      </c>
      <c r="D22" s="46" t="s">
        <v>41</v>
      </c>
      <c r="E22" s="47" t="s">
        <v>42</v>
      </c>
      <c r="F22" s="48" t="s">
        <v>43</v>
      </c>
      <c r="G22" s="49" t="s">
        <v>44</v>
      </c>
      <c r="H22" s="113" t="s">
        <v>45</v>
      </c>
      <c r="I22" s="49" t="s">
        <v>46</v>
      </c>
      <c r="J22" s="49" t="s">
        <v>47</v>
      </c>
      <c r="K22" s="50">
        <f t="shared" si="4"/>
        <v>2753.730491177444</v>
      </c>
      <c r="L22" s="51" t="s">
        <v>48</v>
      </c>
      <c r="M22" s="179">
        <f t="shared" ref="M22:M24" si="42">Z22</f>
        <v>34.700000000000003</v>
      </c>
      <c r="N22" s="270" t="s">
        <v>49</v>
      </c>
      <c r="O22" s="712">
        <v>28000</v>
      </c>
      <c r="P22" s="51">
        <f>1.11387989035634*O22</f>
        <v>31188.636929977522</v>
      </c>
      <c r="Q22" s="81">
        <f>1.29877896835285*O22</f>
        <v>36365.811113879798</v>
      </c>
      <c r="R22" s="78">
        <f t="shared" si="5"/>
        <v>95554.448043857323</v>
      </c>
      <c r="S22" s="51">
        <f t="shared" si="6"/>
        <v>6211.039122850726</v>
      </c>
      <c r="T22" s="81">
        <f t="shared" ref="T22:T31" si="43">SUM(R22:S22)</f>
        <v>101765.48716670804</v>
      </c>
      <c r="U22" s="152">
        <f t="shared" si="7"/>
        <v>13113.00233894021</v>
      </c>
      <c r="V22" s="250">
        <v>0.21</v>
      </c>
      <c r="W22" s="162">
        <f t="shared" ref="W22:W31" si="44">R22/Z22</f>
        <v>2753.730491177444</v>
      </c>
      <c r="X22" s="196">
        <v>-0.06</v>
      </c>
      <c r="Y22" s="335">
        <f t="shared" ref="Y22:Y23" si="45">W22-(W22*X22)</f>
        <v>2918.9543206480907</v>
      </c>
      <c r="Z22" s="197">
        <v>34.700000000000003</v>
      </c>
      <c r="AA22" s="212">
        <v>0.17</v>
      </c>
      <c r="AB22" s="152">
        <f t="shared" ref="AB22:AB23" si="46">Y22*(1-AA22)</f>
        <v>2422.7320861379153</v>
      </c>
      <c r="AC22" s="87">
        <f t="shared" ref="AC22:AC32" si="47">R22/AB22</f>
        <v>39.440781995908168</v>
      </c>
      <c r="AD22" s="84">
        <f t="shared" ref="AD22:AD23" si="48">Y22*AF22</f>
        <v>1126.7163677701631</v>
      </c>
      <c r="AE22" s="377">
        <f t="shared" ref="AE22:AE32" si="49">R22/AD22</f>
        <v>84.807899110372475</v>
      </c>
      <c r="AF22" s="198">
        <v>0.38600000000000001</v>
      </c>
      <c r="AG22" s="96" t="s">
        <v>50</v>
      </c>
      <c r="AH22" s="717"/>
      <c r="AI22" s="425">
        <v>162</v>
      </c>
      <c r="AJ22" s="426" t="s">
        <v>51</v>
      </c>
      <c r="AL22" s="466"/>
      <c r="AM22" s="465"/>
      <c r="AN22" s="466"/>
    </row>
    <row r="23" spans="1:40" s="35" customFormat="1" ht="30" customHeight="1">
      <c r="A23" s="741"/>
      <c r="B23" s="19" t="s">
        <v>70</v>
      </c>
      <c r="C23" s="19" t="s">
        <v>52</v>
      </c>
      <c r="D23" s="19" t="s">
        <v>41</v>
      </c>
      <c r="E23" s="31" t="s">
        <v>42</v>
      </c>
      <c r="F23" s="32" t="s">
        <v>53</v>
      </c>
      <c r="G23" s="33" t="s">
        <v>44</v>
      </c>
      <c r="H23" s="60" t="s">
        <v>45</v>
      </c>
      <c r="I23" s="33" t="s">
        <v>46</v>
      </c>
      <c r="J23" s="33" t="s">
        <v>47</v>
      </c>
      <c r="K23" s="34">
        <f t="shared" si="4"/>
        <v>6507.4310683938502</v>
      </c>
      <c r="L23" s="3" t="s">
        <v>48</v>
      </c>
      <c r="M23" s="180">
        <f t="shared" si="42"/>
        <v>42.9</v>
      </c>
      <c r="N23" s="273" t="s">
        <v>49</v>
      </c>
      <c r="O23" s="713">
        <v>90000</v>
      </c>
      <c r="P23" s="3">
        <f>0.985539444658152*O23</f>
        <v>88698.550019233677</v>
      </c>
      <c r="Q23" s="82">
        <f>1.11633603127625*O23</f>
        <v>100470.2428148625</v>
      </c>
      <c r="R23" s="79">
        <f t="shared" si="5"/>
        <v>279168.79283409618</v>
      </c>
      <c r="S23" s="3">
        <f t="shared" si="6"/>
        <v>18145.971534216253</v>
      </c>
      <c r="T23" s="82">
        <f t="shared" si="43"/>
        <v>297314.76436831243</v>
      </c>
      <c r="U23" s="153">
        <f t="shared" si="7"/>
        <v>81342.888354923125</v>
      </c>
      <c r="V23" s="258">
        <v>0.08</v>
      </c>
      <c r="W23" s="163">
        <f t="shared" si="44"/>
        <v>6507.4310683938502</v>
      </c>
      <c r="X23" s="199">
        <v>-0.01</v>
      </c>
      <c r="Y23" s="334">
        <f t="shared" si="45"/>
        <v>6572.5053790777883</v>
      </c>
      <c r="Z23" s="200">
        <v>42.9</v>
      </c>
      <c r="AA23" s="213">
        <v>0.19</v>
      </c>
      <c r="AB23" s="153">
        <f t="shared" si="46"/>
        <v>5323.7293570530092</v>
      </c>
      <c r="AC23" s="88">
        <f t="shared" si="47"/>
        <v>52.438577191052438</v>
      </c>
      <c r="AD23" s="85">
        <f t="shared" si="48"/>
        <v>2155.7817643375147</v>
      </c>
      <c r="AE23" s="376">
        <f t="shared" si="49"/>
        <v>129.49770586814779</v>
      </c>
      <c r="AF23" s="201">
        <v>0.32800000000000001</v>
      </c>
      <c r="AG23" s="96" t="s">
        <v>50</v>
      </c>
      <c r="AH23" s="717"/>
      <c r="AI23" s="427">
        <v>162</v>
      </c>
      <c r="AJ23" s="428" t="s">
        <v>51</v>
      </c>
      <c r="AL23" s="466"/>
      <c r="AM23" s="465"/>
      <c r="AN23" s="466"/>
    </row>
    <row r="24" spans="1:40" s="35" customFormat="1" ht="30" customHeight="1">
      <c r="A24" s="741"/>
      <c r="B24" s="58" t="s">
        <v>70</v>
      </c>
      <c r="C24" s="58" t="s">
        <v>52</v>
      </c>
      <c r="D24" s="58" t="s">
        <v>41</v>
      </c>
      <c r="E24" s="59" t="s">
        <v>42</v>
      </c>
      <c r="F24" s="73" t="s">
        <v>71</v>
      </c>
      <c r="G24" s="60" t="s">
        <v>44</v>
      </c>
      <c r="H24" s="60" t="s">
        <v>55</v>
      </c>
      <c r="I24" s="60" t="s">
        <v>46</v>
      </c>
      <c r="J24" s="60" t="s">
        <v>47</v>
      </c>
      <c r="K24" s="61">
        <f t="shared" ref="K24" si="50">W24</f>
        <v>50.186159686899856</v>
      </c>
      <c r="L24" s="62" t="s">
        <v>48</v>
      </c>
      <c r="M24" s="181">
        <f t="shared" si="42"/>
        <v>170</v>
      </c>
      <c r="N24" s="273" t="s">
        <v>49</v>
      </c>
      <c r="O24" s="714">
        <v>2500</v>
      </c>
      <c r="P24" s="62">
        <f>1.11387989035634*O24</f>
        <v>2784.69972589085</v>
      </c>
      <c r="Q24" s="83">
        <f>1.29877896835285*O24</f>
        <v>3246.9474208821248</v>
      </c>
      <c r="R24" s="80">
        <f t="shared" ref="R24" si="51">SUM(O24:Q24)</f>
        <v>8531.6471467729752</v>
      </c>
      <c r="S24" s="62">
        <f t="shared" ref="S24" si="52">R24*6.5%</f>
        <v>554.55706454024346</v>
      </c>
      <c r="T24" s="83">
        <f t="shared" si="43"/>
        <v>9086.2042113132193</v>
      </c>
      <c r="U24" s="154">
        <f t="shared" ref="U24" si="53">W24/V24</f>
        <v>5326.7995291294328</v>
      </c>
      <c r="V24" s="252">
        <v>9.4214470457276364E-3</v>
      </c>
      <c r="W24" s="164">
        <f t="shared" si="44"/>
        <v>50.186159686899856</v>
      </c>
      <c r="X24" s="204">
        <v>-0.1</v>
      </c>
      <c r="Y24" s="327">
        <f t="shared" ref="Y24" si="54">W24-(W24*X24)</f>
        <v>55.204775655589842</v>
      </c>
      <c r="Z24" s="202">
        <v>170</v>
      </c>
      <c r="AA24" s="336">
        <v>0.12</v>
      </c>
      <c r="AB24" s="327">
        <f t="shared" ref="AB24" si="55">Y24*(1-AA24)</f>
        <v>48.580202576919064</v>
      </c>
      <c r="AC24" s="89">
        <f t="shared" si="47"/>
        <v>175.61983471074379</v>
      </c>
      <c r="AD24" s="86">
        <f t="shared" ref="AD24" si="56">Y24*AF24</f>
        <v>20.425766992568242</v>
      </c>
      <c r="AE24" s="77">
        <f t="shared" si="49"/>
        <v>417.69041769041769</v>
      </c>
      <c r="AF24" s="203">
        <v>0.37</v>
      </c>
      <c r="AG24" s="97" t="s">
        <v>50</v>
      </c>
      <c r="AI24" s="432">
        <v>162</v>
      </c>
      <c r="AJ24" s="433" t="s">
        <v>51</v>
      </c>
      <c r="AL24" s="15"/>
      <c r="AM24" s="15"/>
      <c r="AN24" s="15"/>
    </row>
    <row r="25" spans="1:40" s="35" customFormat="1" ht="30" customHeight="1" thickBot="1">
      <c r="A25" s="741"/>
      <c r="B25" s="29" t="s">
        <v>70</v>
      </c>
      <c r="C25" s="29" t="s">
        <v>40</v>
      </c>
      <c r="D25" s="29" t="s">
        <v>41</v>
      </c>
      <c r="E25" s="52" t="s">
        <v>42</v>
      </c>
      <c r="F25" s="133" t="s">
        <v>56</v>
      </c>
      <c r="G25" s="53" t="s">
        <v>57</v>
      </c>
      <c r="H25" s="53" t="s">
        <v>58</v>
      </c>
      <c r="I25" s="53" t="s">
        <v>72</v>
      </c>
      <c r="J25" s="53" t="s">
        <v>47</v>
      </c>
      <c r="K25" s="54">
        <f t="shared" ref="K25" si="57">W25</f>
        <v>3230.7692307692309</v>
      </c>
      <c r="L25" s="55" t="s">
        <v>48</v>
      </c>
      <c r="M25" s="188">
        <f t="shared" ref="M25" si="58">Z25</f>
        <v>13</v>
      </c>
      <c r="N25" s="273" t="s">
        <v>49</v>
      </c>
      <c r="O25" s="715">
        <v>14000</v>
      </c>
      <c r="P25" s="55">
        <f>O25</f>
        <v>14000</v>
      </c>
      <c r="Q25" s="148">
        <f>O25</f>
        <v>14000</v>
      </c>
      <c r="R25" s="147">
        <f t="shared" si="5"/>
        <v>42000</v>
      </c>
      <c r="S25" s="55">
        <f t="shared" ref="S25" si="59">R25*6.5%</f>
        <v>2730</v>
      </c>
      <c r="T25" s="148">
        <f t="shared" si="43"/>
        <v>44730</v>
      </c>
      <c r="U25" s="155">
        <f t="shared" ref="U25" si="60">W25/V25</f>
        <v>631342.08739945851</v>
      </c>
      <c r="V25" s="253">
        <v>5.117303749029297E-3</v>
      </c>
      <c r="W25" s="165">
        <f t="shared" si="44"/>
        <v>3230.7692307692309</v>
      </c>
      <c r="X25" s="205">
        <v>0.4</v>
      </c>
      <c r="Y25" s="333">
        <f t="shared" ref="Y25" si="61">W25-(W25*X25)</f>
        <v>1938.4615384615386</v>
      </c>
      <c r="Z25" s="206">
        <v>13</v>
      </c>
      <c r="AA25" s="329">
        <v>0.35</v>
      </c>
      <c r="AB25" s="333">
        <f t="shared" ref="AB25" si="62">Y25*(1-AA25)</f>
        <v>1260</v>
      </c>
      <c r="AC25" s="177">
        <f t="shared" si="47"/>
        <v>33.333333333333336</v>
      </c>
      <c r="AD25" s="247">
        <f t="shared" ref="AD25" si="63">Y25*AF25</f>
        <v>242.30769230769232</v>
      </c>
      <c r="AE25" s="378">
        <f t="shared" si="49"/>
        <v>173.33333333333331</v>
      </c>
      <c r="AF25" s="207">
        <v>0.125</v>
      </c>
      <c r="AG25" s="302" t="s">
        <v>50</v>
      </c>
      <c r="AI25" s="430">
        <v>162</v>
      </c>
      <c r="AJ25" s="431" t="s">
        <v>51</v>
      </c>
    </row>
    <row r="26" spans="1:40" s="35" customFormat="1" ht="30" customHeight="1">
      <c r="A26" s="744" t="s">
        <v>70</v>
      </c>
      <c r="B26" s="46" t="s">
        <v>70</v>
      </c>
      <c r="C26" s="46" t="s">
        <v>40</v>
      </c>
      <c r="D26" s="46" t="s">
        <v>41</v>
      </c>
      <c r="E26" s="47" t="s">
        <v>60</v>
      </c>
      <c r="F26" s="48" t="s">
        <v>43</v>
      </c>
      <c r="G26" s="49" t="s">
        <v>44</v>
      </c>
      <c r="H26" s="113" t="s">
        <v>45</v>
      </c>
      <c r="I26" s="49" t="s">
        <v>46</v>
      </c>
      <c r="J26" s="49" t="s">
        <v>47</v>
      </c>
      <c r="K26" s="50">
        <f t="shared" si="4"/>
        <v>1923.0061822885123</v>
      </c>
      <c r="L26" s="51" t="s">
        <v>48</v>
      </c>
      <c r="M26" s="179">
        <f t="shared" ref="M26:M28" si="64">Z26</f>
        <v>37.799999999999997</v>
      </c>
      <c r="N26" s="270" t="s">
        <v>49</v>
      </c>
      <c r="O26" s="712">
        <v>21300</v>
      </c>
      <c r="P26" s="51">
        <f>1.11387989035634*O26</f>
        <v>23725.641664590043</v>
      </c>
      <c r="Q26" s="81">
        <f>1.29877896835285*O26</f>
        <v>27663.992025915704</v>
      </c>
      <c r="R26" s="78">
        <f t="shared" ref="R26:R35" si="65">SUM(O26:Q26)</f>
        <v>72689.633690505754</v>
      </c>
      <c r="S26" s="51">
        <f t="shared" ref="S26:S35" si="66">R26*6.5%</f>
        <v>4724.8261898828741</v>
      </c>
      <c r="T26" s="81">
        <f t="shared" si="43"/>
        <v>77414.459880388633</v>
      </c>
      <c r="U26" s="152">
        <f t="shared" si="7"/>
        <v>14244.490239174163</v>
      </c>
      <c r="V26" s="250">
        <v>0.13500000000000001</v>
      </c>
      <c r="W26" s="162">
        <f t="shared" si="44"/>
        <v>1923.0061822885123</v>
      </c>
      <c r="X26" s="196">
        <v>-0.03</v>
      </c>
      <c r="Y26" s="335">
        <f t="shared" ref="Y26:Y39" si="67">W26-(W26*X26)</f>
        <v>1980.6963677571675</v>
      </c>
      <c r="Z26" s="208">
        <v>37.799999999999997</v>
      </c>
      <c r="AA26" s="332">
        <v>0.15</v>
      </c>
      <c r="AB26" s="335">
        <f t="shared" ref="AB26:AB35" si="68">Y26*(1-AA26)</f>
        <v>1683.5919125935923</v>
      </c>
      <c r="AC26" s="87">
        <f t="shared" si="47"/>
        <v>43.175328383780695</v>
      </c>
      <c r="AD26" s="84">
        <f t="shared" ref="AD26:AD35" si="69">Y26*AF26</f>
        <v>732.85765607015196</v>
      </c>
      <c r="AE26" s="377">
        <f t="shared" si="49"/>
        <v>99.186565205982674</v>
      </c>
      <c r="AF26" s="198">
        <v>0.37</v>
      </c>
      <c r="AG26" s="209">
        <v>0.85</v>
      </c>
      <c r="AH26" s="717"/>
      <c r="AI26" s="425">
        <v>162</v>
      </c>
      <c r="AJ26" s="426" t="s">
        <v>51</v>
      </c>
      <c r="AL26" s="466"/>
      <c r="AM26" s="465"/>
      <c r="AN26" s="466"/>
    </row>
    <row r="27" spans="1:40" s="35" customFormat="1" ht="30" customHeight="1">
      <c r="A27" s="741"/>
      <c r="B27" s="19" t="s">
        <v>70</v>
      </c>
      <c r="C27" s="58" t="s">
        <v>52</v>
      </c>
      <c r="D27" s="58" t="s">
        <v>41</v>
      </c>
      <c r="E27" s="59" t="s">
        <v>60</v>
      </c>
      <c r="F27" s="73" t="s">
        <v>53</v>
      </c>
      <c r="G27" s="60" t="s">
        <v>44</v>
      </c>
      <c r="H27" s="33" t="s">
        <v>45</v>
      </c>
      <c r="I27" s="60" t="s">
        <v>46</v>
      </c>
      <c r="J27" s="33" t="s">
        <v>47</v>
      </c>
      <c r="K27" s="34">
        <f t="shared" si="4"/>
        <v>6169.2856688028669</v>
      </c>
      <c r="L27" s="3" t="s">
        <v>48</v>
      </c>
      <c r="M27" s="180">
        <f t="shared" si="64"/>
        <v>45</v>
      </c>
      <c r="N27" s="273" t="s">
        <v>49</v>
      </c>
      <c r="O27" s="713">
        <v>89500</v>
      </c>
      <c r="P27" s="3">
        <f>0.985539444658152*O27</f>
        <v>88205.780296904602</v>
      </c>
      <c r="Q27" s="82">
        <f>1.11633603127625*O27</f>
        <v>99912.074799224371</v>
      </c>
      <c r="R27" s="79">
        <f t="shared" si="65"/>
        <v>277617.855096129</v>
      </c>
      <c r="S27" s="3">
        <f t="shared" si="66"/>
        <v>18045.160581248387</v>
      </c>
      <c r="T27" s="82">
        <f t="shared" si="43"/>
        <v>295663.01567737741</v>
      </c>
      <c r="U27" s="153">
        <f t="shared" si="7"/>
        <v>86891.347447927707</v>
      </c>
      <c r="V27" s="251">
        <v>7.0999999999999994E-2</v>
      </c>
      <c r="W27" s="163">
        <f t="shared" si="44"/>
        <v>6169.2856688028669</v>
      </c>
      <c r="X27" s="199">
        <v>-0.01</v>
      </c>
      <c r="Y27" s="334">
        <f t="shared" si="67"/>
        <v>6230.9785254908957</v>
      </c>
      <c r="Z27" s="211">
        <v>45</v>
      </c>
      <c r="AA27" s="328">
        <v>0.2</v>
      </c>
      <c r="AB27" s="334">
        <f t="shared" si="68"/>
        <v>4984.7828203927165</v>
      </c>
      <c r="AC27" s="88">
        <f t="shared" si="47"/>
        <v>55.693069306930688</v>
      </c>
      <c r="AD27" s="85">
        <f t="shared" si="69"/>
        <v>1925.3723643766868</v>
      </c>
      <c r="AE27" s="376">
        <f t="shared" si="49"/>
        <v>144.18917619917329</v>
      </c>
      <c r="AF27" s="201">
        <v>0.309</v>
      </c>
      <c r="AG27" s="171">
        <v>0.792488471538489</v>
      </c>
      <c r="AH27" s="717"/>
      <c r="AI27" s="427">
        <v>162</v>
      </c>
      <c r="AJ27" s="428" t="s">
        <v>51</v>
      </c>
      <c r="AL27" s="466"/>
      <c r="AM27" s="465"/>
      <c r="AN27" s="466"/>
    </row>
    <row r="28" spans="1:40" s="35" customFormat="1" ht="30" customHeight="1">
      <c r="A28" s="741"/>
      <c r="B28" s="19" t="s">
        <v>70</v>
      </c>
      <c r="C28" s="19" t="s">
        <v>40</v>
      </c>
      <c r="D28" s="19" t="s">
        <v>41</v>
      </c>
      <c r="E28" s="31" t="s">
        <v>60</v>
      </c>
      <c r="F28" s="32" t="s">
        <v>61</v>
      </c>
      <c r="G28" s="33" t="s">
        <v>57</v>
      </c>
      <c r="H28" s="33" t="s">
        <v>58</v>
      </c>
      <c r="I28" s="33" t="s">
        <v>62</v>
      </c>
      <c r="J28" s="60" t="s">
        <v>47</v>
      </c>
      <c r="K28" s="61">
        <f t="shared" ref="K28" si="70">W28</f>
        <v>4153.8461538461543</v>
      </c>
      <c r="L28" s="62" t="s">
        <v>48</v>
      </c>
      <c r="M28" s="181">
        <f t="shared" si="64"/>
        <v>13</v>
      </c>
      <c r="N28" s="273" t="s">
        <v>49</v>
      </c>
      <c r="O28" s="713">
        <v>18000</v>
      </c>
      <c r="P28" s="3">
        <f>O28</f>
        <v>18000</v>
      </c>
      <c r="Q28" s="82">
        <f>O28</f>
        <v>18000</v>
      </c>
      <c r="R28" s="80">
        <f t="shared" ref="R28" si="71">SUM(O28:Q28)</f>
        <v>54000</v>
      </c>
      <c r="S28" s="62">
        <f t="shared" ref="S28" si="72">R28*6.5%</f>
        <v>3510</v>
      </c>
      <c r="T28" s="83">
        <f t="shared" si="43"/>
        <v>57510</v>
      </c>
      <c r="U28" s="154">
        <f t="shared" ref="U28" si="73">W28/V28</f>
        <v>602006.68896321079</v>
      </c>
      <c r="V28" s="252">
        <v>6.8999999999999999E-3</v>
      </c>
      <c r="W28" s="164">
        <f t="shared" si="44"/>
        <v>4153.8461538461543</v>
      </c>
      <c r="X28" s="214">
        <v>0.3</v>
      </c>
      <c r="Y28" s="327">
        <f t="shared" ref="Y28" si="74">W28-(W28*X28)</f>
        <v>2907.6923076923081</v>
      </c>
      <c r="Z28" s="210">
        <v>13</v>
      </c>
      <c r="AA28" s="336">
        <v>0.4</v>
      </c>
      <c r="AB28" s="327">
        <f t="shared" ref="AB28" si="75">Y28*(1-AA28)</f>
        <v>1744.6153846153848</v>
      </c>
      <c r="AC28" s="89">
        <f t="shared" si="47"/>
        <v>30.952380952380949</v>
      </c>
      <c r="AD28" s="86">
        <f t="shared" ref="AD28" si="76">Y28*AF28</f>
        <v>319.84615384615387</v>
      </c>
      <c r="AE28" s="77">
        <f t="shared" si="49"/>
        <v>168.83116883116881</v>
      </c>
      <c r="AF28" s="201">
        <v>0.11</v>
      </c>
      <c r="AG28" s="96" t="s">
        <v>50</v>
      </c>
      <c r="AI28" s="432">
        <v>162</v>
      </c>
      <c r="AJ28" s="433" t="s">
        <v>51</v>
      </c>
    </row>
    <row r="29" spans="1:40" s="35" customFormat="1" ht="30" customHeight="1">
      <c r="A29" s="741"/>
      <c r="B29" s="19" t="s">
        <v>70</v>
      </c>
      <c r="C29" s="19" t="s">
        <v>40</v>
      </c>
      <c r="D29" s="19" t="s">
        <v>41</v>
      </c>
      <c r="E29" s="31" t="s">
        <v>60</v>
      </c>
      <c r="F29" s="32" t="s">
        <v>63</v>
      </c>
      <c r="G29" s="33" t="s">
        <v>57</v>
      </c>
      <c r="H29" s="33" t="s">
        <v>58</v>
      </c>
      <c r="I29" s="33" t="s">
        <v>73</v>
      </c>
      <c r="J29" s="60" t="s">
        <v>47</v>
      </c>
      <c r="K29" s="61">
        <f t="shared" ref="K29:K30" si="77">W29</f>
        <v>3705.8823529411766</v>
      </c>
      <c r="L29" s="62" t="s">
        <v>48</v>
      </c>
      <c r="M29" s="181">
        <f t="shared" ref="M29:M30" si="78">Z29</f>
        <v>17</v>
      </c>
      <c r="N29" s="273" t="s">
        <v>49</v>
      </c>
      <c r="O29" s="713">
        <v>21000</v>
      </c>
      <c r="P29" s="3">
        <f t="shared" ref="P29:P31" si="79">O29</f>
        <v>21000</v>
      </c>
      <c r="Q29" s="82">
        <f t="shared" ref="Q29:Q31" si="80">O29</f>
        <v>21000</v>
      </c>
      <c r="R29" s="80">
        <f t="shared" ref="R29:R30" si="81">SUM(O29:Q29)</f>
        <v>63000</v>
      </c>
      <c r="S29" s="62">
        <f t="shared" ref="S29:S30" si="82">R29*6.5%</f>
        <v>4095</v>
      </c>
      <c r="T29" s="83">
        <f t="shared" si="43"/>
        <v>67095</v>
      </c>
      <c r="U29" s="154">
        <f t="shared" ref="U29:U30" si="83">W29/V29</f>
        <v>463235.29411764705</v>
      </c>
      <c r="V29" s="252">
        <v>8.0000000000000002E-3</v>
      </c>
      <c r="W29" s="164">
        <f t="shared" si="44"/>
        <v>3705.8823529411766</v>
      </c>
      <c r="X29" s="214">
        <v>0.28999999999999998</v>
      </c>
      <c r="Y29" s="327">
        <f t="shared" ref="Y29:Y30" si="84">W29-(W29*X29)</f>
        <v>2631.1764705882351</v>
      </c>
      <c r="Z29" s="210">
        <v>17</v>
      </c>
      <c r="AA29" s="336">
        <v>0.3</v>
      </c>
      <c r="AB29" s="327">
        <f t="shared" ref="AB29:AB30" si="85">Y29*(1-AA29)</f>
        <v>1841.8235294117644</v>
      </c>
      <c r="AC29" s="89">
        <f t="shared" si="47"/>
        <v>34.205231388329985</v>
      </c>
      <c r="AD29" s="86">
        <f t="shared" ref="AD29:AD30" si="86">Y29*AF29</f>
        <v>420.98823529411766</v>
      </c>
      <c r="AE29" s="77">
        <f t="shared" si="49"/>
        <v>149.64788732394365</v>
      </c>
      <c r="AF29" s="201">
        <v>0.16</v>
      </c>
      <c r="AG29" s="96" t="s">
        <v>50</v>
      </c>
      <c r="AI29" s="432">
        <v>162</v>
      </c>
      <c r="AJ29" s="433" t="s">
        <v>51</v>
      </c>
    </row>
    <row r="30" spans="1:40" s="35" customFormat="1" ht="30" customHeight="1">
      <c r="A30" s="741"/>
      <c r="B30" s="58" t="s">
        <v>70</v>
      </c>
      <c r="C30" s="19" t="s">
        <v>52</v>
      </c>
      <c r="D30" s="19" t="s">
        <v>41</v>
      </c>
      <c r="E30" s="31" t="s">
        <v>60</v>
      </c>
      <c r="F30" s="32" t="s">
        <v>65</v>
      </c>
      <c r="G30" s="33" t="s">
        <v>57</v>
      </c>
      <c r="H30" s="33" t="s">
        <v>58</v>
      </c>
      <c r="I30" s="33" t="s">
        <v>73</v>
      </c>
      <c r="J30" s="33" t="s">
        <v>47</v>
      </c>
      <c r="K30" s="34">
        <f t="shared" si="77"/>
        <v>9272.7272727272721</v>
      </c>
      <c r="L30" s="3" t="s">
        <v>48</v>
      </c>
      <c r="M30" s="180">
        <f t="shared" si="78"/>
        <v>11</v>
      </c>
      <c r="N30" s="273" t="s">
        <v>49</v>
      </c>
      <c r="O30" s="713">
        <v>34000</v>
      </c>
      <c r="P30" s="3">
        <f t="shared" si="79"/>
        <v>34000</v>
      </c>
      <c r="Q30" s="82">
        <f t="shared" si="80"/>
        <v>34000</v>
      </c>
      <c r="R30" s="79">
        <f t="shared" si="81"/>
        <v>102000</v>
      </c>
      <c r="S30" s="3">
        <f t="shared" si="82"/>
        <v>6630</v>
      </c>
      <c r="T30" s="82">
        <f t="shared" si="43"/>
        <v>108630</v>
      </c>
      <c r="U30" s="153">
        <f t="shared" si="83"/>
        <v>1404958.6776859504</v>
      </c>
      <c r="V30" s="251">
        <v>6.6E-3</v>
      </c>
      <c r="W30" s="163">
        <f t="shared" si="44"/>
        <v>9272.7272727272721</v>
      </c>
      <c r="X30" s="285">
        <v>0.31</v>
      </c>
      <c r="Y30" s="334">
        <f t="shared" si="84"/>
        <v>6398.181818181818</v>
      </c>
      <c r="Z30" s="211">
        <v>11</v>
      </c>
      <c r="AA30" s="328">
        <f>51.6376279088143%*0.76</f>
        <v>0.39244597210698867</v>
      </c>
      <c r="AB30" s="334">
        <f t="shared" si="85"/>
        <v>3887.2411348281944</v>
      </c>
      <c r="AC30" s="88">
        <f t="shared" si="47"/>
        <v>26.239689399795395</v>
      </c>
      <c r="AD30" s="85">
        <f t="shared" si="86"/>
        <v>767.78181818181815</v>
      </c>
      <c r="AE30" s="376">
        <f t="shared" si="49"/>
        <v>132.85024154589374</v>
      </c>
      <c r="AF30" s="201">
        <v>0.12</v>
      </c>
      <c r="AG30" s="96" t="s">
        <v>50</v>
      </c>
      <c r="AI30" s="427">
        <v>162</v>
      </c>
      <c r="AJ30" s="428" t="s">
        <v>51</v>
      </c>
    </row>
    <row r="31" spans="1:40" s="35" customFormat="1" ht="30" customHeight="1" thickBot="1">
      <c r="A31" s="741"/>
      <c r="B31" s="29" t="s">
        <v>70</v>
      </c>
      <c r="C31" s="42" t="s">
        <v>66</v>
      </c>
      <c r="D31" s="42" t="s">
        <v>41</v>
      </c>
      <c r="E31" s="283" t="s">
        <v>60</v>
      </c>
      <c r="F31" s="284" t="s">
        <v>67</v>
      </c>
      <c r="G31" s="43" t="s">
        <v>57</v>
      </c>
      <c r="H31" s="43" t="s">
        <v>58</v>
      </c>
      <c r="I31" s="43" t="s">
        <v>74</v>
      </c>
      <c r="J31" s="114" t="s">
        <v>47</v>
      </c>
      <c r="K31" s="290">
        <f t="shared" ref="K31" si="87">W31</f>
        <v>5750</v>
      </c>
      <c r="L31" s="291" t="s">
        <v>48</v>
      </c>
      <c r="M31" s="187">
        <f t="shared" ref="M31" si="88">Z31</f>
        <v>12</v>
      </c>
      <c r="N31" s="273" t="s">
        <v>49</v>
      </c>
      <c r="O31" s="145">
        <v>23000</v>
      </c>
      <c r="P31" s="45">
        <f t="shared" si="79"/>
        <v>23000</v>
      </c>
      <c r="Q31" s="146">
        <f t="shared" si="80"/>
        <v>23000</v>
      </c>
      <c r="R31" s="292">
        <f t="shared" ref="R31" si="89">SUM(O31:Q31)</f>
        <v>69000</v>
      </c>
      <c r="S31" s="291">
        <f t="shared" ref="S31" si="90">R31*6.5%</f>
        <v>4485</v>
      </c>
      <c r="T31" s="293">
        <f t="shared" si="43"/>
        <v>73485</v>
      </c>
      <c r="U31" s="294">
        <f t="shared" ref="U31" si="91">W31/V31</f>
        <v>1197916.6666666667</v>
      </c>
      <c r="V31" s="260">
        <v>4.7999999999999996E-3</v>
      </c>
      <c r="W31" s="295">
        <f t="shared" si="44"/>
        <v>5750</v>
      </c>
      <c r="X31" s="285">
        <v>0.31</v>
      </c>
      <c r="Y31" s="296">
        <f t="shared" ref="Y31" si="92">W31-(W31*X31)</f>
        <v>3967.5</v>
      </c>
      <c r="Z31" s="297">
        <v>12</v>
      </c>
      <c r="AA31" s="298">
        <v>0.4</v>
      </c>
      <c r="AB31" s="296">
        <f t="shared" ref="AB31" si="93">Y31*(1-AA31)</f>
        <v>2380.5</v>
      </c>
      <c r="AC31" s="299">
        <f t="shared" si="47"/>
        <v>28.985507246376812</v>
      </c>
      <c r="AD31" s="300">
        <f t="shared" ref="AD31" si="94">Y31*AF31</f>
        <v>515.77499999999998</v>
      </c>
      <c r="AE31" s="301">
        <f t="shared" si="49"/>
        <v>133.77926421404683</v>
      </c>
      <c r="AF31" s="215">
        <v>0.13</v>
      </c>
      <c r="AG31" s="288" t="s">
        <v>50</v>
      </c>
      <c r="AI31" s="430">
        <v>162</v>
      </c>
      <c r="AJ31" s="431" t="s">
        <v>51</v>
      </c>
    </row>
    <row r="32" spans="1:40" s="72" customFormat="1" ht="30" customHeight="1" thickBot="1">
      <c r="A32" s="98" t="str">
        <f>_xlfn.CONCAT("Total ",A21)</f>
        <v>Total Straightener SenseIQ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43">
        <f t="shared" ref="O32:U32" si="95">SUM(O22:O31)</f>
        <v>341300</v>
      </c>
      <c r="P32" s="150">
        <f t="shared" si="95"/>
        <v>344603.30863659672</v>
      </c>
      <c r="Q32" s="149">
        <f t="shared" si="95"/>
        <v>377659.06817476451</v>
      </c>
      <c r="R32" s="143">
        <f t="shared" si="95"/>
        <v>1063562.3768113612</v>
      </c>
      <c r="S32" s="150">
        <f t="shared" si="95"/>
        <v>69131.554492738476</v>
      </c>
      <c r="T32" s="144">
        <f t="shared" si="95"/>
        <v>1132693.9313040997</v>
      </c>
      <c r="U32" s="157">
        <f t="shared" si="95"/>
        <v>4500377.9427430285</v>
      </c>
      <c r="V32" s="254">
        <f>W32/U32</f>
        <v>9.6696022276985486E-3</v>
      </c>
      <c r="W32" s="167">
        <f>SUM(W22:W31)</f>
        <v>43516.864580633403</v>
      </c>
      <c r="X32" s="178">
        <f>1-Y32/W32</f>
        <v>0.18189529860114662</v>
      </c>
      <c r="Y32" s="168">
        <f>SUM(Y22:Y31)</f>
        <v>35601.351503553429</v>
      </c>
      <c r="Z32" s="191">
        <f>R32/W32</f>
        <v>24.440234540350716</v>
      </c>
      <c r="AA32" s="169">
        <f>1-AB32/Y32</f>
        <v>0.28155546496439732</v>
      </c>
      <c r="AB32" s="168">
        <f>SUM(AB22:AB31)</f>
        <v>25577.596427609496</v>
      </c>
      <c r="AC32" s="170">
        <f t="shared" si="47"/>
        <v>41.58179521760335</v>
      </c>
      <c r="AD32" s="109">
        <f>SUM(AD22:AD31)</f>
        <v>8227.8528191768673</v>
      </c>
      <c r="AE32" s="106">
        <f t="shared" si="49"/>
        <v>129.26366090707032</v>
      </c>
      <c r="AF32" s="110">
        <f>AD32/Y32</f>
        <v>0.23111068742307808</v>
      </c>
      <c r="AG32" s="111">
        <f>(U26+U27)/(U26/AG26+U27/AG27)</f>
        <v>0.80011328638721446</v>
      </c>
      <c r="AH32" s="35"/>
      <c r="AI32" s="434"/>
      <c r="AJ32" s="435"/>
    </row>
    <row r="33" spans="1:40" ht="19.95" customHeight="1" thickBot="1">
      <c r="A33" s="131" t="s">
        <v>75</v>
      </c>
      <c r="B33" s="130"/>
      <c r="C33" s="90"/>
      <c r="D33" s="91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158"/>
      <c r="S33" s="158"/>
      <c r="T33" s="159"/>
      <c r="U33" s="91"/>
      <c r="V33" s="257"/>
      <c r="W33" s="91"/>
      <c r="X33" s="91"/>
      <c r="Y33" s="91"/>
      <c r="Z33" s="190"/>
      <c r="AA33" s="91"/>
      <c r="AB33" s="91"/>
      <c r="AC33" s="174"/>
      <c r="AD33" s="248"/>
      <c r="AE33" s="174"/>
      <c r="AF33" s="176"/>
      <c r="AG33" s="173"/>
      <c r="AH33" s="35"/>
      <c r="AI33" s="429"/>
      <c r="AJ33" s="132"/>
    </row>
    <row r="34" spans="1:40" s="35" customFormat="1" ht="30" customHeight="1">
      <c r="A34" s="744" t="s">
        <v>76</v>
      </c>
      <c r="B34" s="46" t="s">
        <v>76</v>
      </c>
      <c r="C34" s="46" t="s">
        <v>40</v>
      </c>
      <c r="D34" s="46" t="s">
        <v>41</v>
      </c>
      <c r="E34" s="47" t="s">
        <v>42</v>
      </c>
      <c r="F34" s="48" t="s">
        <v>43</v>
      </c>
      <c r="G34" s="49" t="s">
        <v>44</v>
      </c>
      <c r="H34" s="113" t="s">
        <v>45</v>
      </c>
      <c r="I34" s="49" t="s">
        <v>46</v>
      </c>
      <c r="J34" s="49" t="s">
        <v>47</v>
      </c>
      <c r="K34" s="50">
        <f t="shared" si="4"/>
        <v>5142.361392486514</v>
      </c>
      <c r="L34" s="51" t="s">
        <v>48</v>
      </c>
      <c r="M34" s="179">
        <f>Z34</f>
        <v>28</v>
      </c>
      <c r="N34" s="270" t="s">
        <v>49</v>
      </c>
      <c r="O34" s="78">
        <v>40000</v>
      </c>
      <c r="P34" s="51">
        <f>1.2047449030665*O34</f>
        <v>48189.796122660002</v>
      </c>
      <c r="Q34" s="81">
        <f>1.39490807167406*O34</f>
        <v>55796.3228669624</v>
      </c>
      <c r="R34" s="78">
        <f t="shared" si="65"/>
        <v>143986.1189896224</v>
      </c>
      <c r="S34" s="51">
        <f t="shared" si="66"/>
        <v>9359.0977343254563</v>
      </c>
      <c r="T34" s="81">
        <f t="shared" ref="T34:T43" si="96">SUM(R34:S34)</f>
        <v>153345.21672394784</v>
      </c>
      <c r="U34" s="152">
        <f t="shared" si="7"/>
        <v>21789.666917315739</v>
      </c>
      <c r="V34" s="250">
        <v>0.23599999999999999</v>
      </c>
      <c r="W34" s="162">
        <f t="shared" ref="W34:W43" si="97">R34/Z34</f>
        <v>5142.361392486514</v>
      </c>
      <c r="X34" s="285">
        <v>-0.04</v>
      </c>
      <c r="Y34" s="335">
        <f t="shared" si="67"/>
        <v>5348.0558481859744</v>
      </c>
      <c r="Z34" s="197">
        <v>28</v>
      </c>
      <c r="AA34" s="332">
        <v>0.18</v>
      </c>
      <c r="AB34" s="335">
        <f t="shared" si="68"/>
        <v>4385.405795512499</v>
      </c>
      <c r="AC34" s="87">
        <f t="shared" ref="AC34:AC44" si="98">R34/AB34</f>
        <v>32.833020637898692</v>
      </c>
      <c r="AD34" s="84">
        <f t="shared" si="69"/>
        <v>2112.4820600334601</v>
      </c>
      <c r="AE34" s="377">
        <f t="shared" ref="AE34:AE44" si="99">R34/AD34</f>
        <v>68.159688412852972</v>
      </c>
      <c r="AF34" s="198">
        <v>0.39500000000000002</v>
      </c>
      <c r="AG34" s="315" t="s">
        <v>50</v>
      </c>
      <c r="AI34" s="425">
        <v>162</v>
      </c>
      <c r="AJ34" s="426" t="s">
        <v>51</v>
      </c>
      <c r="AL34" s="466"/>
      <c r="AM34" s="465"/>
      <c r="AN34" s="466"/>
    </row>
    <row r="35" spans="1:40" s="35" customFormat="1" ht="30" customHeight="1">
      <c r="A35" s="741"/>
      <c r="B35" s="19" t="s">
        <v>76</v>
      </c>
      <c r="C35" s="19" t="s">
        <v>52</v>
      </c>
      <c r="D35" s="19" t="s">
        <v>41</v>
      </c>
      <c r="E35" s="31" t="s">
        <v>42</v>
      </c>
      <c r="F35" s="32" t="s">
        <v>53</v>
      </c>
      <c r="G35" s="33" t="s">
        <v>44</v>
      </c>
      <c r="H35" s="60" t="s">
        <v>45</v>
      </c>
      <c r="I35" s="33" t="s">
        <v>46</v>
      </c>
      <c r="J35" s="33" t="s">
        <v>47</v>
      </c>
      <c r="K35" s="34">
        <f t="shared" si="4"/>
        <v>10857.863842001647</v>
      </c>
      <c r="L35" s="3" t="s">
        <v>48</v>
      </c>
      <c r="M35" s="180">
        <f t="shared" ref="M35:M39" si="100">Z35</f>
        <v>35</v>
      </c>
      <c r="N35" s="273" t="s">
        <v>49</v>
      </c>
      <c r="O35" s="79">
        <v>127500</v>
      </c>
      <c r="P35" s="3">
        <f>0.984894784390247*O35</f>
        <v>125574.0850097565</v>
      </c>
      <c r="Q35" s="82">
        <f>0.995695289884715*O35</f>
        <v>126951.14946030117</v>
      </c>
      <c r="R35" s="79">
        <f t="shared" si="65"/>
        <v>380025.23447005765</v>
      </c>
      <c r="S35" s="3">
        <f t="shared" si="66"/>
        <v>24701.640240553748</v>
      </c>
      <c r="T35" s="82">
        <f t="shared" si="96"/>
        <v>404726.87471061142</v>
      </c>
      <c r="U35" s="153">
        <f t="shared" si="7"/>
        <v>106449.64550982007</v>
      </c>
      <c r="V35" s="251">
        <v>0.10199999999999999</v>
      </c>
      <c r="W35" s="163">
        <f t="shared" si="97"/>
        <v>10857.863842001647</v>
      </c>
      <c r="X35" s="199">
        <v>-0.03</v>
      </c>
      <c r="Y35" s="334">
        <f t="shared" si="67"/>
        <v>11183.599757261696</v>
      </c>
      <c r="Z35" s="200">
        <v>35</v>
      </c>
      <c r="AA35" s="328">
        <v>0.2</v>
      </c>
      <c r="AB35" s="334">
        <f t="shared" si="68"/>
        <v>8946.879805809358</v>
      </c>
      <c r="AC35" s="88">
        <f t="shared" si="98"/>
        <v>42.475728155339802</v>
      </c>
      <c r="AD35" s="85">
        <f t="shared" si="69"/>
        <v>3187.3259308195829</v>
      </c>
      <c r="AE35" s="376">
        <f t="shared" si="99"/>
        <v>119.23011412025211</v>
      </c>
      <c r="AF35" s="201">
        <v>0.28499999999999998</v>
      </c>
      <c r="AG35" s="316" t="s">
        <v>50</v>
      </c>
      <c r="AI35" s="427">
        <v>162</v>
      </c>
      <c r="AJ35" s="428" t="s">
        <v>51</v>
      </c>
      <c r="AL35" s="466"/>
      <c r="AM35" s="465"/>
      <c r="AN35" s="466"/>
    </row>
    <row r="36" spans="1:40" s="35" customFormat="1" ht="30" customHeight="1">
      <c r="A36" s="741"/>
      <c r="B36" s="58" t="s">
        <v>76</v>
      </c>
      <c r="C36" s="19" t="s">
        <v>52</v>
      </c>
      <c r="D36" s="19" t="s">
        <v>41</v>
      </c>
      <c r="E36" s="31" t="s">
        <v>42</v>
      </c>
      <c r="F36" s="73" t="s">
        <v>71</v>
      </c>
      <c r="G36" s="33" t="s">
        <v>44</v>
      </c>
      <c r="H36" s="33" t="s">
        <v>55</v>
      </c>
      <c r="I36" s="33" t="s">
        <v>46</v>
      </c>
      <c r="J36" s="33" t="s">
        <v>47</v>
      </c>
      <c r="K36" s="34">
        <f t="shared" ref="K36" si="101">W36</f>
        <v>129.71722431497514</v>
      </c>
      <c r="L36" s="3" t="s">
        <v>48</v>
      </c>
      <c r="M36" s="180">
        <f t="shared" ref="M36" si="102">Z36</f>
        <v>111</v>
      </c>
      <c r="N36" s="273" t="s">
        <v>49</v>
      </c>
      <c r="O36" s="80">
        <v>4000</v>
      </c>
      <c r="P36" s="62">
        <f>1.2047449030665*O36</f>
        <v>4818.979612266</v>
      </c>
      <c r="Q36" s="83">
        <f>1.39490807167406*O36</f>
        <v>5579.63228669624</v>
      </c>
      <c r="R36" s="79">
        <f t="shared" ref="R36" si="103">SUM(O36:Q36)</f>
        <v>14398.611898962241</v>
      </c>
      <c r="S36" s="3">
        <f t="shared" ref="S36" si="104">R36*6.5%</f>
        <v>935.90977343254565</v>
      </c>
      <c r="T36" s="82">
        <f t="shared" si="96"/>
        <v>15334.521672394787</v>
      </c>
      <c r="U36" s="153">
        <f t="shared" ref="U36" si="105">W36/V36</f>
        <v>10814.468592346298</v>
      </c>
      <c r="V36" s="251">
        <v>1.1994784876140807E-2</v>
      </c>
      <c r="W36" s="163">
        <f t="shared" si="97"/>
        <v>129.71722431497514</v>
      </c>
      <c r="X36" s="199">
        <v>-0.1</v>
      </c>
      <c r="Y36" s="334">
        <f t="shared" ref="Y36" si="106">W36-(W36*X36)</f>
        <v>142.68894674647265</v>
      </c>
      <c r="Z36" s="200">
        <v>111</v>
      </c>
      <c r="AA36" s="328">
        <v>0.18</v>
      </c>
      <c r="AB36" s="334">
        <f t="shared" ref="AB36" si="107">Y36*(1-AA36)</f>
        <v>117.00493633210759</v>
      </c>
      <c r="AC36" s="88">
        <f t="shared" si="98"/>
        <v>123.05986696230597</v>
      </c>
      <c r="AD36" s="85">
        <f t="shared" ref="AD36" si="108">Y36*AF36</f>
        <v>64.210026035912691</v>
      </c>
      <c r="AE36" s="376">
        <f t="shared" si="99"/>
        <v>224.24242424242425</v>
      </c>
      <c r="AF36" s="201">
        <v>0.45</v>
      </c>
      <c r="AG36" s="316" t="s">
        <v>50</v>
      </c>
      <c r="AI36" s="432">
        <v>162</v>
      </c>
      <c r="AJ36" s="433" t="s">
        <v>51</v>
      </c>
      <c r="AL36" s="15"/>
      <c r="AM36" s="15"/>
      <c r="AN36" s="15"/>
    </row>
    <row r="37" spans="1:40" s="35" customFormat="1" ht="30" customHeight="1" thickBot="1">
      <c r="A37" s="745"/>
      <c r="B37" s="29" t="s">
        <v>76</v>
      </c>
      <c r="C37" s="29" t="s">
        <v>40</v>
      </c>
      <c r="D37" s="29" t="s">
        <v>41</v>
      </c>
      <c r="E37" s="52" t="s">
        <v>42</v>
      </c>
      <c r="F37" s="133" t="s">
        <v>77</v>
      </c>
      <c r="G37" s="64" t="s">
        <v>57</v>
      </c>
      <c r="H37" s="64" t="s">
        <v>58</v>
      </c>
      <c r="I37" s="64" t="s">
        <v>72</v>
      </c>
      <c r="J37" s="64" t="s">
        <v>47</v>
      </c>
      <c r="K37" s="122">
        <f t="shared" ref="K37" si="109">W37</f>
        <v>6101.6949152542375</v>
      </c>
      <c r="L37" s="123" t="s">
        <v>48</v>
      </c>
      <c r="M37" s="317">
        <f t="shared" ref="M37" si="110">Z37</f>
        <v>8.85</v>
      </c>
      <c r="N37" s="273" t="s">
        <v>49</v>
      </c>
      <c r="O37" s="715">
        <v>18000</v>
      </c>
      <c r="P37" s="55">
        <f>O37</f>
        <v>18000</v>
      </c>
      <c r="Q37" s="148">
        <f>O37</f>
        <v>18000</v>
      </c>
      <c r="R37" s="124">
        <f t="shared" ref="R37" si="111">SUM(O37:Q37)</f>
        <v>54000</v>
      </c>
      <c r="S37" s="123">
        <f t="shared" ref="S37" si="112">R37*6.5%</f>
        <v>3510</v>
      </c>
      <c r="T37" s="125">
        <f t="shared" si="96"/>
        <v>57510</v>
      </c>
      <c r="U37" s="318">
        <f t="shared" ref="U37" si="113">W37/V37</f>
        <v>789031.10356550862</v>
      </c>
      <c r="V37" s="266">
        <v>7.7331487791566502E-3</v>
      </c>
      <c r="W37" s="319">
        <f t="shared" si="97"/>
        <v>6101.6949152542375</v>
      </c>
      <c r="X37" s="281">
        <v>0.26823529411764707</v>
      </c>
      <c r="Y37" s="126">
        <f t="shared" ref="Y37" si="114">W37-(W37*X37)</f>
        <v>4465.004985044865</v>
      </c>
      <c r="Z37" s="220">
        <v>8.85</v>
      </c>
      <c r="AA37" s="218">
        <v>0.27</v>
      </c>
      <c r="AB37" s="126">
        <f t="shared" ref="AB37" si="115">Y37*(1-AA37)</f>
        <v>3259.4536390827511</v>
      </c>
      <c r="AC37" s="128">
        <f t="shared" si="98"/>
        <v>16.567193762938821</v>
      </c>
      <c r="AD37" s="129">
        <f t="shared" ref="AD37" si="116">Y37*AF37</f>
        <v>370.59541375872379</v>
      </c>
      <c r="AE37" s="127">
        <f t="shared" si="99"/>
        <v>145.7114632162089</v>
      </c>
      <c r="AF37" s="219">
        <v>8.3000000000000004E-2</v>
      </c>
      <c r="AG37" s="320" t="s">
        <v>50</v>
      </c>
      <c r="AI37" s="430">
        <v>162</v>
      </c>
      <c r="AJ37" s="431" t="s">
        <v>51</v>
      </c>
    </row>
    <row r="38" spans="1:40" s="35" customFormat="1" ht="30" customHeight="1">
      <c r="A38" s="741" t="s">
        <v>76</v>
      </c>
      <c r="B38" s="42" t="s">
        <v>76</v>
      </c>
      <c r="C38" s="42" t="s">
        <v>40</v>
      </c>
      <c r="D38" s="42" t="s">
        <v>41</v>
      </c>
      <c r="E38" s="283" t="s">
        <v>60</v>
      </c>
      <c r="F38" s="284" t="s">
        <v>43</v>
      </c>
      <c r="G38" s="43" t="s">
        <v>44</v>
      </c>
      <c r="H38" s="114" t="s">
        <v>45</v>
      </c>
      <c r="I38" s="43" t="s">
        <v>46</v>
      </c>
      <c r="J38" s="43" t="s">
        <v>47</v>
      </c>
      <c r="K38" s="44">
        <f t="shared" si="4"/>
        <v>4445.5714238045912</v>
      </c>
      <c r="L38" s="45" t="s">
        <v>48</v>
      </c>
      <c r="M38" s="186">
        <f t="shared" si="100"/>
        <v>40</v>
      </c>
      <c r="N38" s="270" t="s">
        <v>49</v>
      </c>
      <c r="O38" s="712">
        <v>49400</v>
      </c>
      <c r="P38" s="51">
        <f>1.2047449030665*O38</f>
        <v>59514.398211485102</v>
      </c>
      <c r="Q38" s="81">
        <f>1.39490807167406*O38</f>
        <v>68908.458740698567</v>
      </c>
      <c r="R38" s="145">
        <f t="shared" ref="R38:R39" si="117">SUM(O38:Q38)</f>
        <v>177822.85695218365</v>
      </c>
      <c r="S38" s="45">
        <f t="shared" ref="S38:S39" si="118">R38*6.5%</f>
        <v>11558.485701891937</v>
      </c>
      <c r="T38" s="146">
        <f t="shared" si="96"/>
        <v>189381.34265407559</v>
      </c>
      <c r="U38" s="156">
        <f t="shared" si="7"/>
        <v>28136.527998763235</v>
      </c>
      <c r="V38" s="259">
        <v>0.158</v>
      </c>
      <c r="W38" s="166">
        <f t="shared" si="97"/>
        <v>4445.5714238045912</v>
      </c>
      <c r="X38" s="285">
        <v>-0.03</v>
      </c>
      <c r="Y38" s="339">
        <f t="shared" si="67"/>
        <v>4578.9385665187292</v>
      </c>
      <c r="Z38" s="313">
        <v>40</v>
      </c>
      <c r="AA38" s="340">
        <v>0.18</v>
      </c>
      <c r="AB38" s="339">
        <f t="shared" ref="AB38:AB39" si="119">Y38*(1-AA38)</f>
        <v>3754.7296245453581</v>
      </c>
      <c r="AC38" s="287">
        <f t="shared" si="98"/>
        <v>47.359696897939848</v>
      </c>
      <c r="AD38" s="249">
        <f t="shared" ref="AD38:AD39" si="120">Y38*AF38</f>
        <v>1877.3648122726788</v>
      </c>
      <c r="AE38" s="175">
        <f t="shared" si="99"/>
        <v>94.719393795879711</v>
      </c>
      <c r="AF38" s="215">
        <v>0.41</v>
      </c>
      <c r="AG38" s="209">
        <v>0.85</v>
      </c>
      <c r="AI38" s="425">
        <v>162</v>
      </c>
      <c r="AJ38" s="426" t="s">
        <v>51</v>
      </c>
      <c r="AL38" s="466"/>
      <c r="AM38" s="465"/>
      <c r="AN38" s="466"/>
    </row>
    <row r="39" spans="1:40" s="35" customFormat="1" ht="30" customHeight="1">
      <c r="A39" s="741"/>
      <c r="B39" s="19" t="s">
        <v>76</v>
      </c>
      <c r="C39" s="58" t="s">
        <v>52</v>
      </c>
      <c r="D39" s="58" t="s">
        <v>41</v>
      </c>
      <c r="E39" s="59" t="s">
        <v>60</v>
      </c>
      <c r="F39" s="73" t="s">
        <v>53</v>
      </c>
      <c r="G39" s="60" t="s">
        <v>44</v>
      </c>
      <c r="H39" s="33" t="s">
        <v>45</v>
      </c>
      <c r="I39" s="60" t="s">
        <v>46</v>
      </c>
      <c r="J39" s="33" t="s">
        <v>47</v>
      </c>
      <c r="K39" s="34">
        <f t="shared" si="4"/>
        <v>8299.2874734811721</v>
      </c>
      <c r="L39" s="3" t="s">
        <v>48</v>
      </c>
      <c r="M39" s="180">
        <f t="shared" si="100"/>
        <v>45</v>
      </c>
      <c r="N39" s="273" t="s">
        <v>49</v>
      </c>
      <c r="O39" s="713">
        <v>125300</v>
      </c>
      <c r="P39" s="3">
        <f>0.984894784390247*O39</f>
        <v>123407.31648409796</v>
      </c>
      <c r="Q39" s="82">
        <f>0.995695289884715*O39</f>
        <v>124760.61982255479</v>
      </c>
      <c r="R39" s="79">
        <f t="shared" si="117"/>
        <v>373467.93630665273</v>
      </c>
      <c r="S39" s="3">
        <f t="shared" si="118"/>
        <v>24275.415859932429</v>
      </c>
      <c r="T39" s="82">
        <f t="shared" si="96"/>
        <v>397743.35216658516</v>
      </c>
      <c r="U39" s="153">
        <f t="shared" si="7"/>
        <v>99991.41534314664</v>
      </c>
      <c r="V39" s="251">
        <v>8.3000000000000004E-2</v>
      </c>
      <c r="W39" s="163">
        <f t="shared" si="97"/>
        <v>8299.2874734811721</v>
      </c>
      <c r="X39" s="199">
        <v>-0.02</v>
      </c>
      <c r="Y39" s="334">
        <f t="shared" si="67"/>
        <v>8465.2732229507965</v>
      </c>
      <c r="Z39" s="200">
        <v>45</v>
      </c>
      <c r="AA39" s="328">
        <v>0.19</v>
      </c>
      <c r="AB39" s="334">
        <f t="shared" si="119"/>
        <v>6856.8713105901452</v>
      </c>
      <c r="AC39" s="88">
        <f t="shared" si="98"/>
        <v>54.466230936819166</v>
      </c>
      <c r="AD39" s="85">
        <f t="shared" si="120"/>
        <v>2793.540163573763</v>
      </c>
      <c r="AE39" s="376">
        <f t="shared" si="99"/>
        <v>133.68983957219248</v>
      </c>
      <c r="AF39" s="201">
        <v>0.33</v>
      </c>
      <c r="AG39" s="171">
        <v>0.78777183211926005</v>
      </c>
      <c r="AI39" s="427">
        <v>162</v>
      </c>
      <c r="AJ39" s="428" t="s">
        <v>51</v>
      </c>
      <c r="AL39" s="466"/>
      <c r="AM39" s="465"/>
      <c r="AN39" s="466"/>
    </row>
    <row r="40" spans="1:40" s="35" customFormat="1" ht="30" customHeight="1">
      <c r="A40" s="741"/>
      <c r="B40" s="58" t="s">
        <v>76</v>
      </c>
      <c r="C40" s="116" t="s">
        <v>40</v>
      </c>
      <c r="D40" s="116" t="s">
        <v>41</v>
      </c>
      <c r="E40" s="117" t="s">
        <v>60</v>
      </c>
      <c r="F40" s="118" t="s">
        <v>61</v>
      </c>
      <c r="G40" s="119" t="s">
        <v>57</v>
      </c>
      <c r="H40" s="119" t="s">
        <v>58</v>
      </c>
      <c r="I40" s="119" t="s">
        <v>62</v>
      </c>
      <c r="J40" s="60" t="s">
        <v>47</v>
      </c>
      <c r="K40" s="61">
        <f t="shared" ref="K40" si="121">W40</f>
        <v>8000</v>
      </c>
      <c r="L40" s="62" t="s">
        <v>48</v>
      </c>
      <c r="M40" s="181">
        <f>Z40</f>
        <v>9</v>
      </c>
      <c r="N40" s="273" t="s">
        <v>49</v>
      </c>
      <c r="O40" s="713">
        <v>24000</v>
      </c>
      <c r="P40" s="3">
        <f t="shared" ref="P40:Q43" si="122">O40</f>
        <v>24000</v>
      </c>
      <c r="Q40" s="82">
        <f t="shared" si="122"/>
        <v>24000</v>
      </c>
      <c r="R40" s="80">
        <f t="shared" ref="R40" si="123">SUM(O40:Q40)</f>
        <v>72000</v>
      </c>
      <c r="S40" s="62">
        <f t="shared" ref="S40" si="124">R40*6.5%</f>
        <v>4680</v>
      </c>
      <c r="T40" s="83">
        <f t="shared" si="96"/>
        <v>76680</v>
      </c>
      <c r="U40" s="154">
        <f t="shared" ref="U40" si="125">W40/V40</f>
        <v>1066666.6666666667</v>
      </c>
      <c r="V40" s="252">
        <v>7.4999999999999997E-3</v>
      </c>
      <c r="W40" s="164">
        <f>R40/Z40</f>
        <v>8000</v>
      </c>
      <c r="X40" s="204">
        <v>0.4</v>
      </c>
      <c r="Y40" s="327">
        <f t="shared" ref="Y40" si="126">W40-(W40*X40)</f>
        <v>4800</v>
      </c>
      <c r="Z40" s="202">
        <v>9</v>
      </c>
      <c r="AA40" s="336">
        <v>0.41625000000000001</v>
      </c>
      <c r="AB40" s="327">
        <f>Y40*(1-AA40)</f>
        <v>2802</v>
      </c>
      <c r="AC40" s="89">
        <f t="shared" si="98"/>
        <v>25.695931477516059</v>
      </c>
      <c r="AD40" s="86">
        <f t="shared" ref="AD40" si="127">Y40*AF40</f>
        <v>509.30526315789479</v>
      </c>
      <c r="AE40" s="77">
        <f t="shared" si="99"/>
        <v>141.36904761904759</v>
      </c>
      <c r="AF40" s="201">
        <v>0.10610526315789474</v>
      </c>
      <c r="AG40" s="171" t="s">
        <v>50</v>
      </c>
      <c r="AI40" s="432">
        <v>162</v>
      </c>
      <c r="AJ40" s="433" t="s">
        <v>51</v>
      </c>
    </row>
    <row r="41" spans="1:40" s="35" customFormat="1" ht="30" customHeight="1">
      <c r="A41" s="741"/>
      <c r="B41" s="58" t="s">
        <v>76</v>
      </c>
      <c r="C41" s="19" t="s">
        <v>40</v>
      </c>
      <c r="D41" s="19" t="s">
        <v>41</v>
      </c>
      <c r="E41" s="31" t="s">
        <v>60</v>
      </c>
      <c r="F41" s="32" t="s">
        <v>63</v>
      </c>
      <c r="G41" s="33" t="s">
        <v>57</v>
      </c>
      <c r="H41" s="33" t="s">
        <v>58</v>
      </c>
      <c r="I41" s="33" t="s">
        <v>73</v>
      </c>
      <c r="J41" s="60" t="s">
        <v>47</v>
      </c>
      <c r="K41" s="61">
        <f t="shared" ref="K41:K42" si="128">W41</f>
        <v>6000</v>
      </c>
      <c r="L41" s="62" t="s">
        <v>48</v>
      </c>
      <c r="M41" s="181">
        <f>Z41</f>
        <v>10</v>
      </c>
      <c r="N41" s="273" t="s">
        <v>49</v>
      </c>
      <c r="O41" s="79">
        <v>20000</v>
      </c>
      <c r="P41" s="3">
        <f t="shared" si="122"/>
        <v>20000</v>
      </c>
      <c r="Q41" s="82">
        <f t="shared" si="122"/>
        <v>20000</v>
      </c>
      <c r="R41" s="80">
        <f t="shared" ref="R41" si="129">SUM(O41:Q41)</f>
        <v>60000</v>
      </c>
      <c r="S41" s="62">
        <f t="shared" ref="S41:S42" si="130">R41*6.5%</f>
        <v>3900</v>
      </c>
      <c r="T41" s="83">
        <f t="shared" si="96"/>
        <v>63900</v>
      </c>
      <c r="U41" s="154">
        <f t="shared" ref="U41:U42" si="131">W41/V41</f>
        <v>750000</v>
      </c>
      <c r="V41" s="252">
        <v>8.0000000000000002E-3</v>
      </c>
      <c r="W41" s="164">
        <f>R41/Z41</f>
        <v>6000</v>
      </c>
      <c r="X41" s="204">
        <v>0.36</v>
      </c>
      <c r="Y41" s="327">
        <f t="shared" ref="Y41:Y42" si="132">W41-(W41*X41)</f>
        <v>3840</v>
      </c>
      <c r="Z41" s="202">
        <v>10</v>
      </c>
      <c r="AA41" s="336">
        <v>0.37125000000000002</v>
      </c>
      <c r="AB41" s="327">
        <f>Y41*(1-AA41)</f>
        <v>2414.3999999999996</v>
      </c>
      <c r="AC41" s="89">
        <f t="shared" si="98"/>
        <v>24.850894632206764</v>
      </c>
      <c r="AD41" s="86">
        <f t="shared" ref="AD41:AD42" si="133">Y41*AF41</f>
        <v>445.64210526315787</v>
      </c>
      <c r="AE41" s="77">
        <f t="shared" si="99"/>
        <v>134.63718820861678</v>
      </c>
      <c r="AF41" s="201">
        <v>0.11605263157894737</v>
      </c>
      <c r="AG41" s="171" t="s">
        <v>50</v>
      </c>
      <c r="AI41" s="432">
        <v>162</v>
      </c>
      <c r="AJ41" s="433" t="s">
        <v>51</v>
      </c>
    </row>
    <row r="42" spans="1:40" s="35" customFormat="1" ht="30" customHeight="1">
      <c r="A42" s="741"/>
      <c r="B42" s="58" t="s">
        <v>76</v>
      </c>
      <c r="C42" s="19" t="s">
        <v>52</v>
      </c>
      <c r="D42" s="19" t="s">
        <v>41</v>
      </c>
      <c r="E42" s="31" t="s">
        <v>60</v>
      </c>
      <c r="F42" s="32" t="s">
        <v>65</v>
      </c>
      <c r="G42" s="33" t="s">
        <v>57</v>
      </c>
      <c r="H42" s="33" t="s">
        <v>58</v>
      </c>
      <c r="I42" s="33" t="s">
        <v>73</v>
      </c>
      <c r="J42" s="33" t="s">
        <v>47</v>
      </c>
      <c r="K42" s="34">
        <f t="shared" si="128"/>
        <v>8000</v>
      </c>
      <c r="L42" s="3" t="s">
        <v>48</v>
      </c>
      <c r="M42" s="180">
        <f t="shared" ref="M42" si="134">Z42</f>
        <v>9</v>
      </c>
      <c r="N42" s="273" t="s">
        <v>49</v>
      </c>
      <c r="O42" s="79">
        <v>24000</v>
      </c>
      <c r="P42" s="3">
        <f t="shared" si="122"/>
        <v>24000</v>
      </c>
      <c r="Q42" s="82">
        <f t="shared" si="122"/>
        <v>24000</v>
      </c>
      <c r="R42" s="79">
        <f t="shared" ref="R42" si="135">SUM(O42:Q42)</f>
        <v>72000</v>
      </c>
      <c r="S42" s="3">
        <f t="shared" si="130"/>
        <v>4680</v>
      </c>
      <c r="T42" s="82">
        <f t="shared" si="96"/>
        <v>76680</v>
      </c>
      <c r="U42" s="153">
        <f t="shared" si="131"/>
        <v>1230769.2307692308</v>
      </c>
      <c r="V42" s="251">
        <v>6.4999999999999997E-3</v>
      </c>
      <c r="W42" s="163">
        <f t="shared" si="97"/>
        <v>8000</v>
      </c>
      <c r="X42" s="199">
        <v>0.4</v>
      </c>
      <c r="Y42" s="334">
        <f t="shared" si="132"/>
        <v>4800</v>
      </c>
      <c r="Z42" s="200">
        <v>9</v>
      </c>
      <c r="AA42" s="328">
        <v>0.39374999999999999</v>
      </c>
      <c r="AB42" s="334">
        <f>Y42*(1-AA42)</f>
        <v>2910</v>
      </c>
      <c r="AC42" s="88">
        <f t="shared" si="98"/>
        <v>24.742268041237114</v>
      </c>
      <c r="AD42" s="85">
        <f t="shared" si="133"/>
        <v>493.38947368421054</v>
      </c>
      <c r="AE42" s="376">
        <f t="shared" si="99"/>
        <v>145.92933947772656</v>
      </c>
      <c r="AF42" s="201">
        <v>0.10278947368421053</v>
      </c>
      <c r="AG42" s="171" t="s">
        <v>50</v>
      </c>
      <c r="AI42" s="427">
        <v>162</v>
      </c>
      <c r="AJ42" s="428" t="s">
        <v>51</v>
      </c>
    </row>
    <row r="43" spans="1:40" s="35" customFormat="1" ht="30" customHeight="1" thickBot="1">
      <c r="A43" s="741"/>
      <c r="B43" s="29" t="s">
        <v>76</v>
      </c>
      <c r="C43" s="42" t="s">
        <v>66</v>
      </c>
      <c r="D43" s="42" t="s">
        <v>41</v>
      </c>
      <c r="E43" s="283" t="s">
        <v>60</v>
      </c>
      <c r="F43" s="284" t="s">
        <v>78</v>
      </c>
      <c r="G43" s="43" t="s">
        <v>57</v>
      </c>
      <c r="H43" s="43" t="s">
        <v>58</v>
      </c>
      <c r="I43" s="43" t="s">
        <v>74</v>
      </c>
      <c r="J43" s="114" t="s">
        <v>47</v>
      </c>
      <c r="K43" s="290">
        <f t="shared" ref="K43" si="136">W43</f>
        <v>6818.181818181818</v>
      </c>
      <c r="L43" s="291" t="s">
        <v>48</v>
      </c>
      <c r="M43" s="187">
        <f t="shared" ref="M43" si="137">Z43</f>
        <v>11</v>
      </c>
      <c r="N43" s="273" t="s">
        <v>49</v>
      </c>
      <c r="O43" s="145">
        <v>25000</v>
      </c>
      <c r="P43" s="45">
        <f t="shared" si="122"/>
        <v>25000</v>
      </c>
      <c r="Q43" s="146">
        <f t="shared" si="122"/>
        <v>25000</v>
      </c>
      <c r="R43" s="292">
        <f t="shared" ref="R43" si="138">SUM(O43:Q43)</f>
        <v>75000</v>
      </c>
      <c r="S43" s="291">
        <f t="shared" ref="S43" si="139">R43*6.5%</f>
        <v>4875</v>
      </c>
      <c r="T43" s="293">
        <f t="shared" si="96"/>
        <v>79875</v>
      </c>
      <c r="U43" s="294">
        <f t="shared" ref="U43" si="140">W43/V43</f>
        <v>1363636.3636363635</v>
      </c>
      <c r="V43" s="260">
        <v>5.0000000000000001E-3</v>
      </c>
      <c r="W43" s="295">
        <f t="shared" si="97"/>
        <v>6818.181818181818</v>
      </c>
      <c r="X43" s="289">
        <v>0.4</v>
      </c>
      <c r="Y43" s="296">
        <f t="shared" ref="Y43" si="141">W43-(W43*X43)</f>
        <v>4090.9090909090905</v>
      </c>
      <c r="Z43" s="322">
        <v>11</v>
      </c>
      <c r="AA43" s="298">
        <v>0.39374999999999999</v>
      </c>
      <c r="AB43" s="296">
        <f>Y43*(1-AA43)</f>
        <v>2480.113636363636</v>
      </c>
      <c r="AC43" s="299">
        <f t="shared" si="98"/>
        <v>30.240549828178697</v>
      </c>
      <c r="AD43" s="300">
        <f t="shared" ref="AD43" si="142">Y43*AF43</f>
        <v>474.76076555023917</v>
      </c>
      <c r="AE43" s="301">
        <f t="shared" si="99"/>
        <v>157.97430083144371</v>
      </c>
      <c r="AF43" s="215">
        <v>0.11605263157894737</v>
      </c>
      <c r="AG43" s="314" t="s">
        <v>50</v>
      </c>
      <c r="AI43" s="430">
        <v>162</v>
      </c>
      <c r="AJ43" s="431" t="s">
        <v>51</v>
      </c>
    </row>
    <row r="44" spans="1:40" s="72" customFormat="1" ht="30" customHeight="1" thickBot="1">
      <c r="A44" s="98" t="str">
        <f>_xlfn.CONCAT("Total ",A33)</f>
        <v>Total Hair Dryer SenseIQ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143">
        <f t="shared" ref="O44:U44" si="143">SUM(O34:O43)</f>
        <v>457200</v>
      </c>
      <c r="P44" s="150">
        <f t="shared" si="143"/>
        <v>472504.57544026553</v>
      </c>
      <c r="Q44" s="149">
        <f t="shared" si="143"/>
        <v>492996.18317721318</v>
      </c>
      <c r="R44" s="143">
        <f t="shared" si="143"/>
        <v>1422700.7586174787</v>
      </c>
      <c r="S44" s="150">
        <f t="shared" si="143"/>
        <v>92475.549310136121</v>
      </c>
      <c r="T44" s="144">
        <f t="shared" si="143"/>
        <v>1515176.307927615</v>
      </c>
      <c r="U44" s="157">
        <f t="shared" si="143"/>
        <v>5467285.0889991615</v>
      </c>
      <c r="V44" s="254">
        <f>W44/U44</f>
        <v>1.1668438182945235E-2</v>
      </c>
      <c r="W44" s="167">
        <f>SUM(W34:W43)</f>
        <v>63794.678089524954</v>
      </c>
      <c r="X44" s="178">
        <f>1-Y44/W44</f>
        <v>0.18936074346130904</v>
      </c>
      <c r="Y44" s="168">
        <f>SUM(Y34:Y43)</f>
        <v>51714.470417617624</v>
      </c>
      <c r="Z44" s="191">
        <f>R44/W44</f>
        <v>22.301245201378094</v>
      </c>
      <c r="AA44" s="169">
        <f>1-AB44/Y44</f>
        <v>0.26661032314631861</v>
      </c>
      <c r="AB44" s="168">
        <f>SUM(AB34:AB43)</f>
        <v>37926.858748235856</v>
      </c>
      <c r="AC44" s="170">
        <f t="shared" si="98"/>
        <v>37.511695024931498</v>
      </c>
      <c r="AD44" s="109">
        <f>SUM(AD34:AD43)</f>
        <v>12328.616014149624</v>
      </c>
      <c r="AE44" s="106">
        <f t="shared" si="99"/>
        <v>115.39825370379261</v>
      </c>
      <c r="AF44" s="110">
        <f>AD44/Y44</f>
        <v>0.23839780074301256</v>
      </c>
      <c r="AG44" s="111">
        <f>(U38+U39)/(U38/AG38+U39/AG39)</f>
        <v>0.80064347276489667</v>
      </c>
      <c r="AH44" s="35"/>
      <c r="AI44" s="434"/>
      <c r="AJ44" s="435"/>
    </row>
    <row r="45" spans="1:40" ht="19.95" customHeight="1" thickBot="1">
      <c r="A45" s="131" t="s">
        <v>79</v>
      </c>
      <c r="B45" s="130"/>
      <c r="C45" s="90"/>
      <c r="D45" s="91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59"/>
      <c r="S45" s="159"/>
      <c r="T45" s="159"/>
      <c r="U45" s="91"/>
      <c r="V45" s="257"/>
      <c r="W45" s="91"/>
      <c r="X45" s="91"/>
      <c r="Y45" s="91"/>
      <c r="Z45" s="190"/>
      <c r="AA45" s="91"/>
      <c r="AB45" s="91"/>
      <c r="AC45" s="174"/>
      <c r="AD45" s="248"/>
      <c r="AE45" s="174"/>
      <c r="AF45" s="176"/>
      <c r="AG45" s="173"/>
      <c r="AH45" s="35"/>
      <c r="AI45" s="429"/>
      <c r="AJ45" s="132"/>
    </row>
    <row r="46" spans="1:40" s="35" customFormat="1" ht="30" customHeight="1">
      <c r="A46" s="744" t="s">
        <v>80</v>
      </c>
      <c r="B46" s="63" t="s">
        <v>80</v>
      </c>
      <c r="C46" s="46" t="s">
        <v>40</v>
      </c>
      <c r="D46" s="46" t="s">
        <v>41</v>
      </c>
      <c r="E46" s="47" t="s">
        <v>42</v>
      </c>
      <c r="F46" s="48" t="s">
        <v>43</v>
      </c>
      <c r="G46" s="49" t="s">
        <v>44</v>
      </c>
      <c r="H46" s="113" t="s">
        <v>45</v>
      </c>
      <c r="I46" s="49" t="s">
        <v>46</v>
      </c>
      <c r="J46" s="49" t="s">
        <v>47</v>
      </c>
      <c r="K46" s="50">
        <f t="shared" ref="K46:K55" si="144">W46</f>
        <v>10362.40667838053</v>
      </c>
      <c r="L46" s="51" t="s">
        <v>48</v>
      </c>
      <c r="M46" s="179">
        <f t="shared" ref="M46:M55" si="145">Z46</f>
        <v>10.08</v>
      </c>
      <c r="N46" s="270" t="s">
        <v>49</v>
      </c>
      <c r="O46" s="78">
        <v>31000</v>
      </c>
      <c r="P46" s="51">
        <f>1.05931807566558*O46</f>
        <v>32838.86034563298</v>
      </c>
      <c r="Q46" s="81">
        <f>1.31013545072396*O46</f>
        <v>40614.198972442762</v>
      </c>
      <c r="R46" s="78">
        <f t="shared" ref="R46" si="146">SUM(O46:Q46)</f>
        <v>104453.05931807574</v>
      </c>
      <c r="S46" s="51">
        <f t="shared" ref="S46:S55" si="147">R46*6.5%</f>
        <v>6789.4488556749238</v>
      </c>
      <c r="T46" s="81">
        <f t="shared" ref="T46:T55" si="148">SUM(R46:S46)</f>
        <v>111242.50817375067</v>
      </c>
      <c r="U46" s="152">
        <f t="shared" ref="U46:U55" si="149">W46/V46</f>
        <v>79710.820602927153</v>
      </c>
      <c r="V46" s="250">
        <v>0.13</v>
      </c>
      <c r="W46" s="162">
        <f t="shared" ref="W46:W55" si="150">R46/Z46</f>
        <v>10362.40667838053</v>
      </c>
      <c r="X46" s="196">
        <v>9.1323765640799998E-2</v>
      </c>
      <c r="Y46" s="335">
        <f t="shared" ref="Y46:Y55" si="151">W46-(W46*X46)</f>
        <v>9416.0726794094462</v>
      </c>
      <c r="Z46" s="197">
        <v>10.08</v>
      </c>
      <c r="AA46" s="332">
        <v>0.35200000000000004</v>
      </c>
      <c r="AB46" s="335">
        <f t="shared" ref="AB46:AB55" si="152">Y46*(1-AA46)</f>
        <v>6101.6150962573201</v>
      </c>
      <c r="AC46" s="87">
        <f t="shared" ref="AC46:AC56" si="153">R46/AB46</f>
        <v>17.118919772921497</v>
      </c>
      <c r="AD46" s="84">
        <f t="shared" ref="AD46:AD55" si="154">Y46*AF46</f>
        <v>1600.732355499606</v>
      </c>
      <c r="AE46" s="377">
        <f t="shared" ref="AE46:AE56" si="155">R46/AD46</f>
        <v>65.253294193253694</v>
      </c>
      <c r="AF46" s="198">
        <v>0.17</v>
      </c>
      <c r="AG46" s="315" t="s">
        <v>50</v>
      </c>
      <c r="AI46" s="425">
        <v>162</v>
      </c>
      <c r="AJ46" s="426" t="s">
        <v>51</v>
      </c>
      <c r="AL46" s="466"/>
      <c r="AM46" s="465"/>
      <c r="AN46" s="466"/>
    </row>
    <row r="47" spans="1:40" s="35" customFormat="1" ht="30" customHeight="1">
      <c r="A47" s="741"/>
      <c r="B47" s="57" t="s">
        <v>80</v>
      </c>
      <c r="C47" s="19" t="s">
        <v>52</v>
      </c>
      <c r="D47" s="19" t="s">
        <v>41</v>
      </c>
      <c r="E47" s="31" t="s">
        <v>42</v>
      </c>
      <c r="F47" s="32" t="s">
        <v>53</v>
      </c>
      <c r="G47" s="33" t="s">
        <v>44</v>
      </c>
      <c r="H47" s="60" t="s">
        <v>45</v>
      </c>
      <c r="I47" s="33" t="s">
        <v>46</v>
      </c>
      <c r="J47" s="43" t="s">
        <v>47</v>
      </c>
      <c r="K47" s="34">
        <f t="shared" si="144"/>
        <v>18028.470623683952</v>
      </c>
      <c r="L47" s="3" t="s">
        <v>48</v>
      </c>
      <c r="M47" s="186">
        <f t="shared" si="145"/>
        <v>10.8</v>
      </c>
      <c r="N47" s="273" t="s">
        <v>49</v>
      </c>
      <c r="O47" s="79">
        <v>64000</v>
      </c>
      <c r="P47" s="3">
        <f>0.970485289944187*O47</f>
        <v>62111.058556427968</v>
      </c>
      <c r="Q47" s="82">
        <f>1.07181912780248*O47</f>
        <v>68596.424179358713</v>
      </c>
      <c r="R47" s="79">
        <f t="shared" ref="R47:R51" si="156">SUM(O47:Q47)</f>
        <v>194707.4827357867</v>
      </c>
      <c r="S47" s="3">
        <f t="shared" si="147"/>
        <v>12655.986377826137</v>
      </c>
      <c r="T47" s="82">
        <f t="shared" si="148"/>
        <v>207363.46911361284</v>
      </c>
      <c r="U47" s="153">
        <f t="shared" si="149"/>
        <v>300474.51039473253</v>
      </c>
      <c r="V47" s="259">
        <v>0.06</v>
      </c>
      <c r="W47" s="163">
        <f t="shared" si="150"/>
        <v>18028.470623683952</v>
      </c>
      <c r="X47" s="199">
        <v>0.10654439324759998</v>
      </c>
      <c r="Y47" s="334">
        <f t="shared" si="151"/>
        <v>16107.638159901366</v>
      </c>
      <c r="Z47" s="200">
        <v>10.8</v>
      </c>
      <c r="AA47" s="328">
        <v>0.39600000000000002</v>
      </c>
      <c r="AB47" s="334">
        <f t="shared" si="152"/>
        <v>9729.0134485804247</v>
      </c>
      <c r="AC47" s="88">
        <f t="shared" si="153"/>
        <v>20.013075710589831</v>
      </c>
      <c r="AD47" s="85">
        <f t="shared" si="154"/>
        <v>2093.9929607871777</v>
      </c>
      <c r="AE47" s="376">
        <f t="shared" si="155"/>
        <v>92.983828686125051</v>
      </c>
      <c r="AF47" s="215">
        <v>0.13</v>
      </c>
      <c r="AG47" s="316" t="s">
        <v>50</v>
      </c>
      <c r="AI47" s="427">
        <v>162</v>
      </c>
      <c r="AJ47" s="428" t="s">
        <v>51</v>
      </c>
      <c r="AL47" s="466"/>
      <c r="AM47" s="465"/>
      <c r="AN47" s="466"/>
    </row>
    <row r="48" spans="1:40" s="35" customFormat="1" ht="30" customHeight="1">
      <c r="A48" s="741"/>
      <c r="B48" s="58" t="s">
        <v>80</v>
      </c>
      <c r="C48" s="58" t="s">
        <v>52</v>
      </c>
      <c r="D48" s="58" t="s">
        <v>41</v>
      </c>
      <c r="E48" s="59" t="s">
        <v>42</v>
      </c>
      <c r="F48" s="73" t="s">
        <v>71</v>
      </c>
      <c r="G48" s="60" t="s">
        <v>44</v>
      </c>
      <c r="H48" s="60" t="s">
        <v>55</v>
      </c>
      <c r="I48" s="60" t="s">
        <v>46</v>
      </c>
      <c r="J48" s="114" t="s">
        <v>47</v>
      </c>
      <c r="K48" s="61">
        <f t="shared" si="144"/>
        <v>155.99321881433056</v>
      </c>
      <c r="L48" s="62" t="s">
        <v>48</v>
      </c>
      <c r="M48" s="187">
        <f t="shared" si="145"/>
        <v>86.4</v>
      </c>
      <c r="N48" s="273" t="s">
        <v>49</v>
      </c>
      <c r="O48" s="80">
        <v>4000</v>
      </c>
      <c r="P48" s="62">
        <f>1.05931807566558*O48</f>
        <v>4237.2723026623198</v>
      </c>
      <c r="Q48" s="83">
        <f>1.31013545072396*O48</f>
        <v>5240.5418028958402</v>
      </c>
      <c r="R48" s="80">
        <f t="shared" si="156"/>
        <v>13477.814105558162</v>
      </c>
      <c r="S48" s="62">
        <f t="shared" si="147"/>
        <v>876.05791686128055</v>
      </c>
      <c r="T48" s="83">
        <f t="shared" si="148"/>
        <v>14353.872022419442</v>
      </c>
      <c r="U48" s="154">
        <f t="shared" si="149"/>
        <v>10399.547920955371</v>
      </c>
      <c r="V48" s="260">
        <v>1.4999999999999999E-2</v>
      </c>
      <c r="W48" s="164">
        <f t="shared" si="150"/>
        <v>155.99321881433056</v>
      </c>
      <c r="X48" s="204">
        <v>0.01</v>
      </c>
      <c r="Y48" s="327">
        <f t="shared" si="151"/>
        <v>154.43328662618725</v>
      </c>
      <c r="Z48" s="202">
        <v>86.4</v>
      </c>
      <c r="AA48" s="336">
        <v>0.38500000000000001</v>
      </c>
      <c r="AB48" s="327">
        <f t="shared" si="152"/>
        <v>94.976471275105155</v>
      </c>
      <c r="AC48" s="89">
        <f t="shared" si="153"/>
        <v>141.90687361419072</v>
      </c>
      <c r="AD48" s="86">
        <f t="shared" si="154"/>
        <v>46.329985987856176</v>
      </c>
      <c r="AE48" s="77">
        <f t="shared" si="155"/>
        <v>290.90909090909093</v>
      </c>
      <c r="AF48" s="216">
        <v>0.3</v>
      </c>
      <c r="AG48" s="323" t="s">
        <v>50</v>
      </c>
      <c r="AI48" s="432">
        <v>162</v>
      </c>
      <c r="AJ48" s="433" t="s">
        <v>51</v>
      </c>
      <c r="AL48" s="15"/>
      <c r="AM48" s="15"/>
      <c r="AN48" s="15"/>
    </row>
    <row r="49" spans="1:40" s="35" customFormat="1" ht="30" customHeight="1" thickBot="1">
      <c r="A49" s="745"/>
      <c r="B49" s="29" t="s">
        <v>80</v>
      </c>
      <c r="C49" s="29" t="s">
        <v>40</v>
      </c>
      <c r="D49" s="29" t="s">
        <v>41</v>
      </c>
      <c r="E49" s="52" t="s">
        <v>42</v>
      </c>
      <c r="F49" s="133" t="s">
        <v>77</v>
      </c>
      <c r="G49" s="53" t="s">
        <v>57</v>
      </c>
      <c r="H49" s="53" t="s">
        <v>58</v>
      </c>
      <c r="I49" s="53" t="s">
        <v>72</v>
      </c>
      <c r="J49" s="53" t="s">
        <v>47</v>
      </c>
      <c r="K49" s="54">
        <f t="shared" si="144"/>
        <v>5250</v>
      </c>
      <c r="L49" s="55" t="s">
        <v>48</v>
      </c>
      <c r="M49" s="188">
        <f t="shared" si="145"/>
        <v>8</v>
      </c>
      <c r="N49" s="273" t="s">
        <v>49</v>
      </c>
      <c r="O49" s="147">
        <v>14000</v>
      </c>
      <c r="P49" s="55">
        <f>O49</f>
        <v>14000</v>
      </c>
      <c r="Q49" s="148">
        <f>O49</f>
        <v>14000</v>
      </c>
      <c r="R49" s="147">
        <f t="shared" si="156"/>
        <v>42000</v>
      </c>
      <c r="S49" s="55">
        <f t="shared" si="147"/>
        <v>2730</v>
      </c>
      <c r="T49" s="148">
        <f t="shared" si="148"/>
        <v>44730</v>
      </c>
      <c r="U49" s="155">
        <f t="shared" si="149"/>
        <v>525000</v>
      </c>
      <c r="V49" s="253">
        <v>0.01</v>
      </c>
      <c r="W49" s="165">
        <f t="shared" si="150"/>
        <v>5250</v>
      </c>
      <c r="X49" s="205">
        <v>0.34703030943503993</v>
      </c>
      <c r="Y49" s="333">
        <f t="shared" si="151"/>
        <v>3428.0908754660404</v>
      </c>
      <c r="Z49" s="206">
        <v>8</v>
      </c>
      <c r="AA49" s="329">
        <v>0.6</v>
      </c>
      <c r="AB49" s="333">
        <f t="shared" si="152"/>
        <v>1371.2363501864163</v>
      </c>
      <c r="AC49" s="177">
        <f t="shared" si="153"/>
        <v>30.629293042217121</v>
      </c>
      <c r="AD49" s="247">
        <f t="shared" si="154"/>
        <v>342.80908754660408</v>
      </c>
      <c r="AE49" s="378">
        <f t="shared" si="155"/>
        <v>122.51717216886848</v>
      </c>
      <c r="AF49" s="207">
        <v>0.1</v>
      </c>
      <c r="AG49" s="324" t="s">
        <v>50</v>
      </c>
      <c r="AI49" s="430">
        <v>162</v>
      </c>
      <c r="AJ49" s="431" t="s">
        <v>51</v>
      </c>
    </row>
    <row r="50" spans="1:40" s="35" customFormat="1" ht="30" customHeight="1">
      <c r="A50" s="741" t="s">
        <v>80</v>
      </c>
      <c r="B50" s="57" t="s">
        <v>80</v>
      </c>
      <c r="C50" s="42" t="s">
        <v>40</v>
      </c>
      <c r="D50" s="42" t="s">
        <v>41</v>
      </c>
      <c r="E50" s="283" t="s">
        <v>60</v>
      </c>
      <c r="F50" s="284" t="s">
        <v>43</v>
      </c>
      <c r="G50" s="43" t="s">
        <v>44</v>
      </c>
      <c r="H50" s="114" t="s">
        <v>45</v>
      </c>
      <c r="I50" s="43" t="s">
        <v>46</v>
      </c>
      <c r="J50" s="43" t="s">
        <v>47</v>
      </c>
      <c r="K50" s="44">
        <f t="shared" si="144"/>
        <v>8774.6185583060924</v>
      </c>
      <c r="L50" s="45" t="s">
        <v>48</v>
      </c>
      <c r="M50" s="186">
        <f t="shared" si="145"/>
        <v>11.520000000000001</v>
      </c>
      <c r="N50" s="270" t="s">
        <v>49</v>
      </c>
      <c r="O50" s="78">
        <v>30000</v>
      </c>
      <c r="P50" s="51">
        <f>1.05931807566558*O50</f>
        <v>31779.542269967402</v>
      </c>
      <c r="Q50" s="81">
        <f>1.31013545072396*O50</f>
        <v>39304.063521718803</v>
      </c>
      <c r="R50" s="145">
        <f t="shared" si="156"/>
        <v>101083.6057916862</v>
      </c>
      <c r="S50" s="45">
        <f t="shared" si="147"/>
        <v>6570.4343764596033</v>
      </c>
      <c r="T50" s="146">
        <f t="shared" si="148"/>
        <v>107654.0401681458</v>
      </c>
      <c r="U50" s="156">
        <f t="shared" si="149"/>
        <v>73121.821319217444</v>
      </c>
      <c r="V50" s="259">
        <v>0.12</v>
      </c>
      <c r="W50" s="166">
        <f t="shared" si="150"/>
        <v>8774.6185583060924</v>
      </c>
      <c r="X50" s="285">
        <v>9.1323765640799998E-2</v>
      </c>
      <c r="Y50" s="339">
        <f t="shared" si="151"/>
        <v>7973.2873494999321</v>
      </c>
      <c r="Z50" s="313">
        <v>11.520000000000001</v>
      </c>
      <c r="AA50" s="340">
        <v>0.39600000000000002</v>
      </c>
      <c r="AB50" s="339">
        <f t="shared" si="152"/>
        <v>4815.8655590979588</v>
      </c>
      <c r="AC50" s="287">
        <f t="shared" si="153"/>
        <v>20.989706741443957</v>
      </c>
      <c r="AD50" s="249">
        <f t="shared" si="154"/>
        <v>1275.7259759199892</v>
      </c>
      <c r="AE50" s="175">
        <f t="shared" si="155"/>
        <v>79.236142948950942</v>
      </c>
      <c r="AF50" s="215">
        <v>0.16</v>
      </c>
      <c r="AG50" s="209">
        <v>0.85</v>
      </c>
      <c r="AI50" s="425">
        <v>162</v>
      </c>
      <c r="AJ50" s="426" t="s">
        <v>51</v>
      </c>
      <c r="AL50" s="466"/>
      <c r="AM50" s="465"/>
      <c r="AN50" s="466"/>
    </row>
    <row r="51" spans="1:40" s="35" customFormat="1" ht="30" customHeight="1">
      <c r="A51" s="741"/>
      <c r="B51" s="57" t="s">
        <v>80</v>
      </c>
      <c r="C51" s="58" t="s">
        <v>52</v>
      </c>
      <c r="D51" s="58" t="s">
        <v>41</v>
      </c>
      <c r="E51" s="59" t="s">
        <v>60</v>
      </c>
      <c r="F51" s="73" t="s">
        <v>53</v>
      </c>
      <c r="G51" s="60" t="s">
        <v>44</v>
      </c>
      <c r="H51" s="33" t="s">
        <v>45</v>
      </c>
      <c r="I51" s="60" t="s">
        <v>46</v>
      </c>
      <c r="J51" s="43" t="s">
        <v>47</v>
      </c>
      <c r="K51" s="34">
        <f t="shared" si="144"/>
        <v>16404.58264471242</v>
      </c>
      <c r="L51" s="3" t="s">
        <v>48</v>
      </c>
      <c r="M51" s="186">
        <f t="shared" si="145"/>
        <v>12.240000000000002</v>
      </c>
      <c r="N51" s="273" t="s">
        <v>49</v>
      </c>
      <c r="O51" s="79">
        <v>66000</v>
      </c>
      <c r="P51" s="3">
        <f>0.970485289944187*O51</f>
        <v>64052.029136316341</v>
      </c>
      <c r="Q51" s="82">
        <f>1.07181912780248*O51</f>
        <v>70740.062434963678</v>
      </c>
      <c r="R51" s="79">
        <f t="shared" si="156"/>
        <v>200792.09157128003</v>
      </c>
      <c r="S51" s="3">
        <f t="shared" si="147"/>
        <v>13051.485952133202</v>
      </c>
      <c r="T51" s="82">
        <f t="shared" si="148"/>
        <v>213843.57752341323</v>
      </c>
      <c r="U51" s="153">
        <f t="shared" si="149"/>
        <v>195292.65053229069</v>
      </c>
      <c r="V51" s="259">
        <v>8.4000000000000005E-2</v>
      </c>
      <c r="W51" s="163">
        <f t="shared" si="150"/>
        <v>16404.58264471242</v>
      </c>
      <c r="X51" s="199">
        <v>0.10654439324759998</v>
      </c>
      <c r="Y51" s="334">
        <f t="shared" si="151"/>
        <v>14656.766340351427</v>
      </c>
      <c r="Z51" s="200">
        <v>12.240000000000002</v>
      </c>
      <c r="AA51" s="328">
        <v>0.41800000000000004</v>
      </c>
      <c r="AB51" s="334">
        <f t="shared" si="152"/>
        <v>8530.2380100845294</v>
      </c>
      <c r="AC51" s="88">
        <f t="shared" si="153"/>
        <v>23.538861557426848</v>
      </c>
      <c r="AD51" s="85">
        <f t="shared" si="154"/>
        <v>2051.9472876492</v>
      </c>
      <c r="AE51" s="376">
        <f t="shared" si="155"/>
        <v>97.854410188731592</v>
      </c>
      <c r="AF51" s="215">
        <v>0.14000000000000001</v>
      </c>
      <c r="AG51" s="171">
        <v>0.7827469974109369</v>
      </c>
      <c r="AI51" s="427">
        <v>162</v>
      </c>
      <c r="AJ51" s="428" t="s">
        <v>51</v>
      </c>
      <c r="AL51" s="466"/>
      <c r="AM51" s="465"/>
      <c r="AN51" s="466"/>
    </row>
    <row r="52" spans="1:40" s="35" customFormat="1" ht="30" customHeight="1">
      <c r="A52" s="741"/>
      <c r="B52" s="58" t="s">
        <v>80</v>
      </c>
      <c r="C52" s="19" t="s">
        <v>40</v>
      </c>
      <c r="D52" s="19" t="s">
        <v>41</v>
      </c>
      <c r="E52" s="31" t="s">
        <v>60</v>
      </c>
      <c r="F52" s="118" t="s">
        <v>61</v>
      </c>
      <c r="G52" s="119" t="s">
        <v>57</v>
      </c>
      <c r="H52" s="119" t="s">
        <v>58</v>
      </c>
      <c r="I52" s="119" t="s">
        <v>62</v>
      </c>
      <c r="J52" s="43" t="s">
        <v>47</v>
      </c>
      <c r="K52" s="34">
        <f t="shared" si="144"/>
        <v>14210.526315789475</v>
      </c>
      <c r="L52" s="3" t="s">
        <v>48</v>
      </c>
      <c r="M52" s="186">
        <f t="shared" si="145"/>
        <v>6.333333333333333</v>
      </c>
      <c r="N52" s="273" t="s">
        <v>49</v>
      </c>
      <c r="O52" s="79">
        <v>30000</v>
      </c>
      <c r="P52" s="3">
        <f t="shared" ref="P52:Q55" si="157">O52</f>
        <v>30000</v>
      </c>
      <c r="Q52" s="82">
        <f t="shared" si="157"/>
        <v>30000</v>
      </c>
      <c r="R52" s="79">
        <f t="shared" ref="R52:R53" si="158">SUM(O52:Q52)</f>
        <v>90000</v>
      </c>
      <c r="S52" s="3">
        <f t="shared" si="147"/>
        <v>5850</v>
      </c>
      <c r="T52" s="82">
        <f t="shared" si="148"/>
        <v>95850</v>
      </c>
      <c r="U52" s="153">
        <f t="shared" si="149"/>
        <v>1421052.6315789474</v>
      </c>
      <c r="V52" s="259">
        <v>0.01</v>
      </c>
      <c r="W52" s="163">
        <f t="shared" si="150"/>
        <v>14210.526315789475</v>
      </c>
      <c r="X52" s="214">
        <v>0.34703030943503993</v>
      </c>
      <c r="Y52" s="334">
        <f t="shared" si="151"/>
        <v>9279.0429711862744</v>
      </c>
      <c r="Z52" s="200">
        <v>6.333333333333333</v>
      </c>
      <c r="AA52" s="217">
        <v>0.57999999999999996</v>
      </c>
      <c r="AB52" s="334">
        <f t="shared" si="152"/>
        <v>3897.1980478982355</v>
      </c>
      <c r="AC52" s="88">
        <f t="shared" si="153"/>
        <v>23.093514595322436</v>
      </c>
      <c r="AD52" s="85">
        <f t="shared" si="154"/>
        <v>835.11386740676471</v>
      </c>
      <c r="AE52" s="376">
        <f t="shared" si="155"/>
        <v>107.76973477817137</v>
      </c>
      <c r="AF52" s="201">
        <v>0.09</v>
      </c>
      <c r="AG52" s="171" t="s">
        <v>50</v>
      </c>
      <c r="AI52" s="432">
        <v>162</v>
      </c>
      <c r="AJ52" s="433" t="s">
        <v>51</v>
      </c>
    </row>
    <row r="53" spans="1:40" s="35" customFormat="1" ht="30" customHeight="1">
      <c r="A53" s="741"/>
      <c r="B53" s="58" t="s">
        <v>80</v>
      </c>
      <c r="C53" s="19" t="s">
        <v>40</v>
      </c>
      <c r="D53" s="19" t="s">
        <v>41</v>
      </c>
      <c r="E53" s="31" t="s">
        <v>60</v>
      </c>
      <c r="F53" s="32" t="s">
        <v>63</v>
      </c>
      <c r="G53" s="33" t="s">
        <v>57</v>
      </c>
      <c r="H53" s="33" t="s">
        <v>58</v>
      </c>
      <c r="I53" s="33" t="s">
        <v>73</v>
      </c>
      <c r="J53" s="43" t="s">
        <v>47</v>
      </c>
      <c r="K53" s="34">
        <f t="shared" si="144"/>
        <v>13815.78947368421</v>
      </c>
      <c r="L53" s="3" t="s">
        <v>48</v>
      </c>
      <c r="M53" s="186">
        <f t="shared" si="145"/>
        <v>6.08</v>
      </c>
      <c r="N53" s="273" t="s">
        <v>49</v>
      </c>
      <c r="O53" s="79">
        <v>28000</v>
      </c>
      <c r="P53" s="3">
        <f t="shared" si="157"/>
        <v>28000</v>
      </c>
      <c r="Q53" s="82">
        <f t="shared" si="157"/>
        <v>28000</v>
      </c>
      <c r="R53" s="79">
        <f t="shared" si="158"/>
        <v>84000</v>
      </c>
      <c r="S53" s="3">
        <f t="shared" si="147"/>
        <v>5460</v>
      </c>
      <c r="T53" s="82">
        <f t="shared" si="148"/>
        <v>89460</v>
      </c>
      <c r="U53" s="153">
        <f t="shared" si="149"/>
        <v>1381578.9473684209</v>
      </c>
      <c r="V53" s="259">
        <v>0.01</v>
      </c>
      <c r="W53" s="163">
        <f t="shared" si="150"/>
        <v>13815.78947368421</v>
      </c>
      <c r="X53" s="214">
        <v>0.36529506256319999</v>
      </c>
      <c r="Y53" s="334">
        <f t="shared" si="151"/>
        <v>8768.9497935347354</v>
      </c>
      <c r="Z53" s="200">
        <v>6.08</v>
      </c>
      <c r="AA53" s="217">
        <v>0.57999999999999996</v>
      </c>
      <c r="AB53" s="334">
        <f t="shared" si="152"/>
        <v>3682.958913284589</v>
      </c>
      <c r="AC53" s="88">
        <f t="shared" si="153"/>
        <v>22.807748328934228</v>
      </c>
      <c r="AD53" s="85">
        <f t="shared" si="154"/>
        <v>1052.2739752241682</v>
      </c>
      <c r="AE53" s="376">
        <f t="shared" si="155"/>
        <v>79.827119151269798</v>
      </c>
      <c r="AF53" s="201">
        <v>0.12</v>
      </c>
      <c r="AG53" s="171" t="s">
        <v>50</v>
      </c>
      <c r="AI53" s="432">
        <v>162</v>
      </c>
      <c r="AJ53" s="433" t="s">
        <v>51</v>
      </c>
    </row>
    <row r="54" spans="1:40" s="35" customFormat="1" ht="30" customHeight="1">
      <c r="A54" s="741"/>
      <c r="B54" s="19" t="s">
        <v>80</v>
      </c>
      <c r="C54" s="58" t="s">
        <v>52</v>
      </c>
      <c r="D54" s="58" t="s">
        <v>41</v>
      </c>
      <c r="E54" s="59" t="s">
        <v>60</v>
      </c>
      <c r="F54" s="73" t="s">
        <v>65</v>
      </c>
      <c r="G54" s="60" t="s">
        <v>57</v>
      </c>
      <c r="H54" s="60" t="s">
        <v>58</v>
      </c>
      <c r="I54" s="60" t="s">
        <v>73</v>
      </c>
      <c r="J54" s="114" t="s">
        <v>47</v>
      </c>
      <c r="K54" s="61">
        <f t="shared" si="144"/>
        <v>13322.368421052632</v>
      </c>
      <c r="L54" s="62" t="s">
        <v>48</v>
      </c>
      <c r="M54" s="187">
        <f t="shared" si="145"/>
        <v>6.7555555555555555</v>
      </c>
      <c r="N54" s="273" t="s">
        <v>49</v>
      </c>
      <c r="O54" s="79">
        <v>30000</v>
      </c>
      <c r="P54" s="3">
        <f t="shared" si="157"/>
        <v>30000</v>
      </c>
      <c r="Q54" s="82">
        <f t="shared" si="157"/>
        <v>30000</v>
      </c>
      <c r="R54" s="80">
        <f t="shared" ref="R54:R55" si="159">SUM(O54:Q54)</f>
        <v>90000</v>
      </c>
      <c r="S54" s="62">
        <f t="shared" si="147"/>
        <v>5850</v>
      </c>
      <c r="T54" s="83">
        <f t="shared" si="148"/>
        <v>95850</v>
      </c>
      <c r="U54" s="154">
        <f t="shared" si="149"/>
        <v>2664473.6842105263</v>
      </c>
      <c r="V54" s="260">
        <v>5.0000000000000001E-3</v>
      </c>
      <c r="W54" s="164">
        <f t="shared" si="150"/>
        <v>13322.368421052632</v>
      </c>
      <c r="X54" s="289">
        <v>0.36529506256319999</v>
      </c>
      <c r="Y54" s="327">
        <f t="shared" si="151"/>
        <v>8455.7730151942105</v>
      </c>
      <c r="Z54" s="202">
        <v>6.7555555555555555</v>
      </c>
      <c r="AA54" s="298">
        <v>0.57999999999999996</v>
      </c>
      <c r="AB54" s="327">
        <f t="shared" si="152"/>
        <v>3551.4246663815688</v>
      </c>
      <c r="AC54" s="89">
        <f t="shared" si="153"/>
        <v>25.34194258770469</v>
      </c>
      <c r="AD54" s="86">
        <f t="shared" si="154"/>
        <v>761.01957136747887</v>
      </c>
      <c r="AE54" s="77">
        <f t="shared" si="155"/>
        <v>118.26239874262191</v>
      </c>
      <c r="AF54" s="201">
        <v>0.09</v>
      </c>
      <c r="AG54" s="321" t="s">
        <v>50</v>
      </c>
      <c r="AI54" s="427">
        <v>162</v>
      </c>
      <c r="AJ54" s="428" t="s">
        <v>51</v>
      </c>
    </row>
    <row r="55" spans="1:40" s="35" customFormat="1" ht="30" customHeight="1" thickBot="1">
      <c r="A55" s="741"/>
      <c r="B55" s="58" t="s">
        <v>80</v>
      </c>
      <c r="C55" s="29" t="s">
        <v>66</v>
      </c>
      <c r="D55" s="29" t="s">
        <v>41</v>
      </c>
      <c r="E55" s="52" t="s">
        <v>60</v>
      </c>
      <c r="F55" s="133" t="s">
        <v>67</v>
      </c>
      <c r="G55" s="53" t="s">
        <v>57</v>
      </c>
      <c r="H55" s="53" t="s">
        <v>58</v>
      </c>
      <c r="I55" s="53" t="s">
        <v>74</v>
      </c>
      <c r="J55" s="53" t="s">
        <v>47</v>
      </c>
      <c r="K55" s="54">
        <f t="shared" si="144"/>
        <v>7105.2631578947376</v>
      </c>
      <c r="L55" s="55" t="s">
        <v>48</v>
      </c>
      <c r="M55" s="188">
        <f t="shared" si="145"/>
        <v>7.5999999999999988</v>
      </c>
      <c r="N55" s="273" t="s">
        <v>49</v>
      </c>
      <c r="O55" s="145">
        <v>18000</v>
      </c>
      <c r="P55" s="45">
        <f t="shared" si="157"/>
        <v>18000</v>
      </c>
      <c r="Q55" s="146">
        <f t="shared" si="157"/>
        <v>18000</v>
      </c>
      <c r="R55" s="147">
        <f t="shared" si="159"/>
        <v>54000</v>
      </c>
      <c r="S55" s="55">
        <f t="shared" si="147"/>
        <v>3510</v>
      </c>
      <c r="T55" s="148">
        <f t="shared" si="148"/>
        <v>57510</v>
      </c>
      <c r="U55" s="155">
        <f t="shared" si="149"/>
        <v>2842105.2631578948</v>
      </c>
      <c r="V55" s="253">
        <v>2.5000000000000001E-3</v>
      </c>
      <c r="W55" s="165">
        <f t="shared" si="150"/>
        <v>7105.2631578947376</v>
      </c>
      <c r="X55" s="205">
        <v>0.36529506256319999</v>
      </c>
      <c r="Y55" s="333">
        <f t="shared" si="151"/>
        <v>4509.7456081035798</v>
      </c>
      <c r="Z55" s="206">
        <v>7.5999999999999988</v>
      </c>
      <c r="AA55" s="329">
        <v>0.57999999999999996</v>
      </c>
      <c r="AB55" s="333">
        <f t="shared" si="152"/>
        <v>1894.0931554035037</v>
      </c>
      <c r="AC55" s="177">
        <f t="shared" si="153"/>
        <v>28.509685411167773</v>
      </c>
      <c r="AD55" s="247">
        <f t="shared" si="154"/>
        <v>496.07201689139379</v>
      </c>
      <c r="AE55" s="378">
        <f t="shared" si="155"/>
        <v>108.85516247900422</v>
      </c>
      <c r="AF55" s="215">
        <v>0.11</v>
      </c>
      <c r="AG55" s="172" t="s">
        <v>50</v>
      </c>
      <c r="AI55" s="430">
        <v>162</v>
      </c>
      <c r="AJ55" s="431" t="s">
        <v>51</v>
      </c>
    </row>
    <row r="56" spans="1:40" s="72" customFormat="1" ht="30" customHeight="1" thickBot="1">
      <c r="A56" s="98" t="str">
        <f>_xlfn.CONCAT("Total ",A45)</f>
        <v>Total Autocurler SenseIQ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143">
        <f t="shared" ref="O56:U56" si="160">SUM(O46:O55)</f>
        <v>315000</v>
      </c>
      <c r="P56" s="150">
        <f t="shared" si="160"/>
        <v>315018.76261100703</v>
      </c>
      <c r="Q56" s="149">
        <f t="shared" si="160"/>
        <v>344495.29091137979</v>
      </c>
      <c r="R56" s="143">
        <f t="shared" si="160"/>
        <v>974514.05352238682</v>
      </c>
      <c r="S56" s="150">
        <f t="shared" si="160"/>
        <v>63343.413478955154</v>
      </c>
      <c r="T56" s="144">
        <f t="shared" si="160"/>
        <v>1037857.467001342</v>
      </c>
      <c r="U56" s="157">
        <f t="shared" si="160"/>
        <v>9493209.877085913</v>
      </c>
      <c r="V56" s="254">
        <f>W56/U56</f>
        <v>1.1316511536485243E-2</v>
      </c>
      <c r="W56" s="167">
        <f>SUM(W46:W55)</f>
        <v>107430.01909231838</v>
      </c>
      <c r="X56" s="178">
        <f>1-Y56/W56</f>
        <v>0.22973298545015242</v>
      </c>
      <c r="Y56" s="168">
        <f>SUM(Y46:Y55)</f>
        <v>82749.800079273205</v>
      </c>
      <c r="Z56" s="191">
        <f>R56/W56</f>
        <v>9.0711521952253662</v>
      </c>
      <c r="AA56" s="169">
        <f>1-AB56/Y56</f>
        <v>0.47228126621918487</v>
      </c>
      <c r="AB56" s="168">
        <f>SUM(AB46:AB55)</f>
        <v>43668.619718449656</v>
      </c>
      <c r="AC56" s="170">
        <f t="shared" si="153"/>
        <v>22.316117610437367</v>
      </c>
      <c r="AD56" s="109">
        <f>SUM(AD46:AD55)</f>
        <v>10556.017084280238</v>
      </c>
      <c r="AE56" s="106">
        <f t="shared" si="155"/>
        <v>92.318347511355327</v>
      </c>
      <c r="AF56" s="110">
        <f>AD56/Y56</f>
        <v>0.12756546933246624</v>
      </c>
      <c r="AG56" s="111">
        <f>(U50+U51)/(U50/AG50+U51/AG51)</f>
        <v>0.79999022279724408</v>
      </c>
      <c r="AH56" s="35"/>
      <c r="AI56" s="434"/>
      <c r="AJ56" s="435"/>
    </row>
    <row r="57" spans="1:40" ht="19.95" customHeight="1" thickBot="1">
      <c r="A57" s="93" t="s">
        <v>81</v>
      </c>
      <c r="B57" s="13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1"/>
      <c r="T57" s="91"/>
      <c r="U57" s="91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4"/>
      <c r="AH57" s="35"/>
      <c r="AI57" s="429"/>
      <c r="AJ57" s="132"/>
    </row>
    <row r="58" spans="1:40" ht="30" customHeight="1">
      <c r="A58" s="749" t="s">
        <v>81</v>
      </c>
      <c r="B58" s="46" t="s">
        <v>81</v>
      </c>
      <c r="C58" s="46" t="s">
        <v>40</v>
      </c>
      <c r="D58" s="46" t="s">
        <v>41</v>
      </c>
      <c r="E58" s="47" t="s">
        <v>42</v>
      </c>
      <c r="F58" s="48" t="s">
        <v>43</v>
      </c>
      <c r="G58" s="49" t="s">
        <v>44</v>
      </c>
      <c r="H58" s="49" t="s">
        <v>45</v>
      </c>
      <c r="I58" s="49" t="s">
        <v>46</v>
      </c>
      <c r="J58" s="49" t="s">
        <v>47</v>
      </c>
      <c r="K58" s="50">
        <f>W58</f>
        <v>3916.0882407508257</v>
      </c>
      <c r="L58" s="51" t="s">
        <v>48</v>
      </c>
      <c r="M58" s="239">
        <f>Z58</f>
        <v>21.2</v>
      </c>
      <c r="N58" s="270" t="s">
        <v>49</v>
      </c>
      <c r="O58" s="78">
        <v>22000</v>
      </c>
      <c r="P58" s="51">
        <f>1.14530981738723*O58</f>
        <v>25196.81598251906</v>
      </c>
      <c r="Q58" s="81">
        <f>1.62837521460902*O58</f>
        <v>35824.254721398444</v>
      </c>
      <c r="R58" s="78">
        <f>SUM(O58:Q58)</f>
        <v>83021.070703917503</v>
      </c>
      <c r="S58" s="51">
        <f>R58*6.5%</f>
        <v>5396.3695957546379</v>
      </c>
      <c r="T58" s="81">
        <f t="shared" ref="T58:T67" si="161">SUM(R58:S58)</f>
        <v>88417.440299672147</v>
      </c>
      <c r="U58" s="271">
        <f>W58/V58</f>
        <v>26107.25493833884</v>
      </c>
      <c r="V58" s="250">
        <v>0.15</v>
      </c>
      <c r="W58" s="272">
        <f t="shared" ref="W58:W67" si="162">R58/Z58</f>
        <v>3916.0882407508257</v>
      </c>
      <c r="X58" s="196">
        <v>0.08</v>
      </c>
      <c r="Y58" s="335">
        <f>W58-(W58*X58)</f>
        <v>3602.8011814907595</v>
      </c>
      <c r="Z58" s="197">
        <v>21.2</v>
      </c>
      <c r="AA58" s="332">
        <v>0.34502696260634591</v>
      </c>
      <c r="AB58" s="335">
        <f>Y58*(1-AA58)</f>
        <v>2359.7376329664485</v>
      </c>
      <c r="AC58" s="87">
        <f>IFERROR(R58/AB58,"-")</f>
        <v>35.182331096508783</v>
      </c>
      <c r="AD58" s="84">
        <f>Y58*AF58</f>
        <v>900.70029537268988</v>
      </c>
      <c r="AE58" s="377">
        <f t="shared" ref="AE58:AE69" si="163">R58/AD58</f>
        <v>92.173913043478265</v>
      </c>
      <c r="AF58" s="198">
        <v>0.25</v>
      </c>
      <c r="AG58" s="95" t="s">
        <v>50</v>
      </c>
      <c r="AH58" s="35"/>
      <c r="AI58" s="425">
        <v>162</v>
      </c>
      <c r="AJ58" s="426" t="s">
        <v>51</v>
      </c>
      <c r="AL58" s="466"/>
      <c r="AM58" s="465"/>
      <c r="AN58" s="466"/>
    </row>
    <row r="59" spans="1:40" ht="30" customHeight="1">
      <c r="A59" s="750"/>
      <c r="B59" s="19" t="s">
        <v>81</v>
      </c>
      <c r="C59" s="19" t="s">
        <v>52</v>
      </c>
      <c r="D59" s="19" t="s">
        <v>41</v>
      </c>
      <c r="E59" s="31" t="s">
        <v>42</v>
      </c>
      <c r="F59" s="32" t="s">
        <v>53</v>
      </c>
      <c r="G59" s="33" t="s">
        <v>44</v>
      </c>
      <c r="H59" s="33" t="s">
        <v>45</v>
      </c>
      <c r="I59" s="33" t="s">
        <v>46</v>
      </c>
      <c r="J59" s="33" t="s">
        <v>47</v>
      </c>
      <c r="K59" s="34">
        <f t="shared" ref="K59:K67" si="164">W59</f>
        <v>4929.9573371621427</v>
      </c>
      <c r="L59" s="3" t="s">
        <v>48</v>
      </c>
      <c r="M59" s="238">
        <f t="shared" ref="M59:M67" si="165">Z59</f>
        <v>23</v>
      </c>
      <c r="N59" s="273" t="s">
        <v>49</v>
      </c>
      <c r="O59" s="79">
        <v>36750</v>
      </c>
      <c r="P59" s="3">
        <f>0.977361520762234*O59</f>
        <v>35918.035888012098</v>
      </c>
      <c r="Q59" s="82">
        <f>1.10805395555693*O59</f>
        <v>40720.982866717175</v>
      </c>
      <c r="R59" s="79">
        <f t="shared" ref="R59" si="166">SUM(O59:Q59)</f>
        <v>113389.01875472927</v>
      </c>
      <c r="S59" s="3">
        <f t="shared" ref="S59:S67" si="167">R59*6.5%</f>
        <v>7370.2862190574033</v>
      </c>
      <c r="T59" s="82">
        <f t="shared" si="161"/>
        <v>120759.30497378668</v>
      </c>
      <c r="U59" s="274">
        <f>W59/V59</f>
        <v>61624.466714526781</v>
      </c>
      <c r="V59" s="251">
        <v>0.08</v>
      </c>
      <c r="W59" s="275">
        <f t="shared" si="162"/>
        <v>4929.9573371621427</v>
      </c>
      <c r="X59" s="199">
        <v>0.1</v>
      </c>
      <c r="Y59" s="334">
        <f>W59-(W59*X59)</f>
        <v>4436.9616034459286</v>
      </c>
      <c r="Z59" s="200">
        <v>23</v>
      </c>
      <c r="AA59" s="328">
        <v>0.4</v>
      </c>
      <c r="AB59" s="334">
        <f>Y59*(1-AA59)</f>
        <v>2662.1769620675573</v>
      </c>
      <c r="AC59" s="88">
        <f t="shared" ref="AC59:AC69" si="168">R59/AB59</f>
        <v>42.592592592592588</v>
      </c>
      <c r="AD59" s="85">
        <f>Y59*AF59</f>
        <v>811.96397343060494</v>
      </c>
      <c r="AE59" s="376">
        <f t="shared" si="163"/>
        <v>139.64784456587734</v>
      </c>
      <c r="AF59" s="201">
        <v>0.183</v>
      </c>
      <c r="AG59" s="96" t="s">
        <v>50</v>
      </c>
      <c r="AH59" s="35"/>
      <c r="AI59" s="427">
        <v>162</v>
      </c>
      <c r="AJ59" s="428" t="s">
        <v>51</v>
      </c>
      <c r="AL59" s="466"/>
      <c r="AM59" s="465"/>
      <c r="AN59" s="466"/>
    </row>
    <row r="60" spans="1:40" ht="30" customHeight="1">
      <c r="A60" s="750"/>
      <c r="B60" s="19" t="s">
        <v>81</v>
      </c>
      <c r="C60" s="19" t="s">
        <v>52</v>
      </c>
      <c r="D60" s="19" t="s">
        <v>41</v>
      </c>
      <c r="E60" s="31" t="s">
        <v>42</v>
      </c>
      <c r="F60" s="73" t="s">
        <v>71</v>
      </c>
      <c r="G60" s="33" t="s">
        <v>44</v>
      </c>
      <c r="H60" s="33" t="s">
        <v>55</v>
      </c>
      <c r="I60" s="33" t="s">
        <v>46</v>
      </c>
      <c r="J60" s="33" t="s">
        <v>47</v>
      </c>
      <c r="K60" s="34">
        <f t="shared" si="164"/>
        <v>141.5131886998594</v>
      </c>
      <c r="L60" s="3" t="s">
        <v>48</v>
      </c>
      <c r="M60" s="238">
        <f t="shared" si="165"/>
        <v>106.66666666666666</v>
      </c>
      <c r="N60" s="273" t="s">
        <v>49</v>
      </c>
      <c r="O60" s="80">
        <v>4000</v>
      </c>
      <c r="P60" s="62">
        <f>1.14530981738723*O60</f>
        <v>4581.2392695489198</v>
      </c>
      <c r="Q60" s="83">
        <f>1.62837521460902*O60</f>
        <v>6513.5008584360803</v>
      </c>
      <c r="R60" s="79">
        <f t="shared" ref="R60" si="169">SUM(O60:Q60)</f>
        <v>15094.740127985</v>
      </c>
      <c r="S60" s="3">
        <f t="shared" si="167"/>
        <v>981.15810831902502</v>
      </c>
      <c r="T60" s="82">
        <f t="shared" si="161"/>
        <v>16075.898236304025</v>
      </c>
      <c r="U60" s="274">
        <f t="shared" ref="U60:U67" si="170">W60/V60</f>
        <v>13791.795610906453</v>
      </c>
      <c r="V60" s="251">
        <v>1.0260679079956187E-2</v>
      </c>
      <c r="W60" s="275">
        <f t="shared" si="162"/>
        <v>141.5131886998594</v>
      </c>
      <c r="X60" s="237">
        <v>6.4895635673624288E-2</v>
      </c>
      <c r="Y60" s="334">
        <f>W60-(W60*X60)</f>
        <v>132.32960036298047</v>
      </c>
      <c r="Z60" s="200">
        <v>106.66666666666666</v>
      </c>
      <c r="AA60" s="328">
        <v>0.35897435897435892</v>
      </c>
      <c r="AB60" s="334">
        <f t="shared" ref="AB60:AB67" si="171">Y60*(1-AA60)</f>
        <v>84.826666899346463</v>
      </c>
      <c r="AC60" s="88">
        <f t="shared" si="168"/>
        <v>177.9480519480519</v>
      </c>
      <c r="AD60" s="85">
        <f t="shared" ref="AD60:AD62" si="172">Y60*AF60</f>
        <v>26.465920072596095</v>
      </c>
      <c r="AE60" s="376">
        <f t="shared" si="163"/>
        <v>570.34632034632023</v>
      </c>
      <c r="AF60" s="201">
        <v>0.2</v>
      </c>
      <c r="AG60" s="96" t="s">
        <v>50</v>
      </c>
      <c r="AH60" s="35"/>
      <c r="AI60" s="432">
        <v>162</v>
      </c>
      <c r="AJ60" s="433" t="s">
        <v>51</v>
      </c>
    </row>
    <row r="61" spans="1:40" s="35" customFormat="1" ht="30" customHeight="1" thickBot="1">
      <c r="A61" s="750"/>
      <c r="B61" s="19" t="s">
        <v>81</v>
      </c>
      <c r="C61" s="19" t="s">
        <v>40</v>
      </c>
      <c r="D61" s="19" t="s">
        <v>41</v>
      </c>
      <c r="E61" s="31" t="s">
        <v>42</v>
      </c>
      <c r="F61" s="32" t="s">
        <v>77</v>
      </c>
      <c r="G61" s="33" t="s">
        <v>57</v>
      </c>
      <c r="H61" s="33" t="s">
        <v>58</v>
      </c>
      <c r="I61" s="33" t="s">
        <v>72</v>
      </c>
      <c r="J61" s="33" t="s">
        <v>47</v>
      </c>
      <c r="K61" s="34">
        <f t="shared" si="164"/>
        <v>6000</v>
      </c>
      <c r="L61" s="3" t="s">
        <v>48</v>
      </c>
      <c r="M61" s="238">
        <f t="shared" si="165"/>
        <v>8</v>
      </c>
      <c r="N61" s="273" t="s">
        <v>49</v>
      </c>
      <c r="O61" s="147">
        <v>16000</v>
      </c>
      <c r="P61" s="55">
        <f>O61</f>
        <v>16000</v>
      </c>
      <c r="Q61" s="148">
        <f>O61</f>
        <v>16000</v>
      </c>
      <c r="R61" s="79">
        <f t="shared" ref="R61:R63" si="173">SUM(O61:Q61)</f>
        <v>48000</v>
      </c>
      <c r="S61" s="3">
        <f t="shared" si="167"/>
        <v>3120</v>
      </c>
      <c r="T61" s="82">
        <f t="shared" si="161"/>
        <v>51120</v>
      </c>
      <c r="U61" s="274">
        <f t="shared" si="170"/>
        <v>1000000</v>
      </c>
      <c r="V61" s="251">
        <v>6.0000000000000001E-3</v>
      </c>
      <c r="W61" s="275">
        <f t="shared" si="162"/>
        <v>6000</v>
      </c>
      <c r="X61" s="199">
        <v>0.5</v>
      </c>
      <c r="Y61" s="334">
        <f t="shared" ref="Y61:Y67" si="174">W61-(W61*X61)</f>
        <v>3000</v>
      </c>
      <c r="Z61" s="206">
        <v>8</v>
      </c>
      <c r="AA61" s="328">
        <f>41.6251605120822%*48/52</f>
        <v>0.3842322508807588</v>
      </c>
      <c r="AB61" s="334">
        <f t="shared" si="171"/>
        <v>1847.3032473577239</v>
      </c>
      <c r="AC61" s="88">
        <f t="shared" si="168"/>
        <v>25.98382267159246</v>
      </c>
      <c r="AD61" s="85">
        <f t="shared" si="172"/>
        <v>285</v>
      </c>
      <c r="AE61" s="376">
        <f t="shared" si="163"/>
        <v>168.42105263157896</v>
      </c>
      <c r="AF61" s="201">
        <v>9.5000000000000001E-2</v>
      </c>
      <c r="AG61" s="96" t="s">
        <v>50</v>
      </c>
      <c r="AI61" s="430">
        <v>162</v>
      </c>
      <c r="AJ61" s="431" t="s">
        <v>51</v>
      </c>
    </row>
    <row r="62" spans="1:40" ht="30" customHeight="1">
      <c r="A62" s="749" t="s">
        <v>81</v>
      </c>
      <c r="B62" s="46" t="s">
        <v>81</v>
      </c>
      <c r="C62" s="46" t="s">
        <v>40</v>
      </c>
      <c r="D62" s="46" t="s">
        <v>41</v>
      </c>
      <c r="E62" s="47" t="s">
        <v>60</v>
      </c>
      <c r="F62" s="48" t="s">
        <v>43</v>
      </c>
      <c r="G62" s="49" t="s">
        <v>44</v>
      </c>
      <c r="H62" s="49" t="s">
        <v>45</v>
      </c>
      <c r="I62" s="49" t="s">
        <v>46</v>
      </c>
      <c r="J62" s="49" t="s">
        <v>47</v>
      </c>
      <c r="K62" s="50">
        <f t="shared" si="164"/>
        <v>2594.408459497422</v>
      </c>
      <c r="L62" s="51" t="s">
        <v>48</v>
      </c>
      <c r="M62" s="239">
        <f t="shared" si="165"/>
        <v>32</v>
      </c>
      <c r="N62" s="270" t="s">
        <v>49</v>
      </c>
      <c r="O62" s="78">
        <v>22000</v>
      </c>
      <c r="P62" s="51">
        <f>1.14530981738723*O62</f>
        <v>25196.81598251906</v>
      </c>
      <c r="Q62" s="81">
        <f>1.62837521460902*O62</f>
        <v>35824.254721398444</v>
      </c>
      <c r="R62" s="78">
        <f t="shared" si="173"/>
        <v>83021.070703917503</v>
      </c>
      <c r="S62" s="51">
        <f t="shared" si="167"/>
        <v>5396.3695957546379</v>
      </c>
      <c r="T62" s="81">
        <f t="shared" si="161"/>
        <v>88417.440299672147</v>
      </c>
      <c r="U62" s="271">
        <f t="shared" si="170"/>
        <v>20755.267675979376</v>
      </c>
      <c r="V62" s="250">
        <v>0.125</v>
      </c>
      <c r="W62" s="272">
        <f t="shared" si="162"/>
        <v>2594.408459497422</v>
      </c>
      <c r="X62" s="196">
        <v>0.06</v>
      </c>
      <c r="Y62" s="335">
        <f t="shared" si="174"/>
        <v>2438.7439519275767</v>
      </c>
      <c r="Z62" s="197">
        <v>32</v>
      </c>
      <c r="AA62" s="332">
        <v>0.38</v>
      </c>
      <c r="AB62" s="335">
        <f t="shared" si="171"/>
        <v>1512.0212501950975</v>
      </c>
      <c r="AC62" s="87">
        <f t="shared" si="168"/>
        <v>54.907343857240903</v>
      </c>
      <c r="AD62" s="84">
        <f t="shared" si="172"/>
        <v>568.22734079912539</v>
      </c>
      <c r="AE62" s="377">
        <f t="shared" si="163"/>
        <v>146.10537850424618</v>
      </c>
      <c r="AF62" s="198">
        <v>0.23300000000000001</v>
      </c>
      <c r="AG62" s="209">
        <v>0.85</v>
      </c>
      <c r="AH62" s="35"/>
      <c r="AI62" s="425">
        <v>162</v>
      </c>
      <c r="AJ62" s="426" t="s">
        <v>51</v>
      </c>
      <c r="AL62" s="466"/>
      <c r="AM62" s="465"/>
      <c r="AN62" s="466"/>
    </row>
    <row r="63" spans="1:40" ht="30" customHeight="1">
      <c r="A63" s="750"/>
      <c r="B63" s="19" t="s">
        <v>81</v>
      </c>
      <c r="C63" s="19" t="s">
        <v>52</v>
      </c>
      <c r="D63" s="19" t="s">
        <v>41</v>
      </c>
      <c r="E63" s="31" t="s">
        <v>60</v>
      </c>
      <c r="F63" s="32" t="s">
        <v>53</v>
      </c>
      <c r="G63" s="33" t="s">
        <v>44</v>
      </c>
      <c r="H63" s="33" t="s">
        <v>45</v>
      </c>
      <c r="I63" s="33" t="s">
        <v>46</v>
      </c>
      <c r="J63" s="33" t="s">
        <v>47</v>
      </c>
      <c r="K63" s="34">
        <f t="shared" si="164"/>
        <v>8687.5620078319989</v>
      </c>
      <c r="L63" s="3" t="s">
        <v>48</v>
      </c>
      <c r="M63" s="238">
        <f t="shared" si="165"/>
        <v>25.5</v>
      </c>
      <c r="N63" s="273" t="s">
        <v>49</v>
      </c>
      <c r="O63" s="79">
        <v>71800</v>
      </c>
      <c r="P63" s="3">
        <f>0.977361520762234*O63</f>
        <v>70174.557190728403</v>
      </c>
      <c r="Q63" s="82">
        <f>1.10805395555693*O63</f>
        <v>79558.274008987573</v>
      </c>
      <c r="R63" s="79">
        <f t="shared" si="173"/>
        <v>221532.83119971596</v>
      </c>
      <c r="S63" s="3">
        <f t="shared" si="167"/>
        <v>14399.634027981538</v>
      </c>
      <c r="T63" s="82">
        <f t="shared" si="161"/>
        <v>235932.46522769751</v>
      </c>
      <c r="U63" s="274">
        <f t="shared" si="170"/>
        <v>91448.021135073679</v>
      </c>
      <c r="V63" s="251">
        <v>9.5000000000000001E-2</v>
      </c>
      <c r="W63" s="275">
        <f t="shared" si="162"/>
        <v>8687.5620078319989</v>
      </c>
      <c r="X63" s="199">
        <v>0.08</v>
      </c>
      <c r="Y63" s="334">
        <f t="shared" si="174"/>
        <v>7992.5570472054387</v>
      </c>
      <c r="Z63" s="200">
        <v>25.5</v>
      </c>
      <c r="AA63" s="328">
        <v>0.42</v>
      </c>
      <c r="AB63" s="334">
        <f t="shared" si="171"/>
        <v>4635.683087379155</v>
      </c>
      <c r="AC63" s="88">
        <f t="shared" si="168"/>
        <v>47.788605697151418</v>
      </c>
      <c r="AD63" s="85">
        <f>Y63*AF63</f>
        <v>1598.5114094410878</v>
      </c>
      <c r="AE63" s="376">
        <f t="shared" si="163"/>
        <v>138.58695652173913</v>
      </c>
      <c r="AF63" s="201">
        <v>0.2</v>
      </c>
      <c r="AG63" s="96">
        <v>0.78697261068699464</v>
      </c>
      <c r="AH63" s="35"/>
      <c r="AI63" s="427">
        <v>162</v>
      </c>
      <c r="AJ63" s="428" t="s">
        <v>51</v>
      </c>
      <c r="AL63" s="466"/>
      <c r="AM63" s="465"/>
      <c r="AN63" s="466"/>
    </row>
    <row r="64" spans="1:40" s="35" customFormat="1" ht="30" customHeight="1">
      <c r="A64" s="750"/>
      <c r="B64" s="116" t="s">
        <v>81</v>
      </c>
      <c r="C64" s="116" t="s">
        <v>40</v>
      </c>
      <c r="D64" s="116" t="s">
        <v>41</v>
      </c>
      <c r="E64" s="117" t="s">
        <v>60</v>
      </c>
      <c r="F64" s="118" t="s">
        <v>61</v>
      </c>
      <c r="G64" s="119" t="s">
        <v>57</v>
      </c>
      <c r="H64" s="119" t="s">
        <v>58</v>
      </c>
      <c r="I64" s="119" t="s">
        <v>62</v>
      </c>
      <c r="J64" s="119" t="s">
        <v>47</v>
      </c>
      <c r="K64" s="120">
        <f t="shared" si="164"/>
        <v>20547.945205479453</v>
      </c>
      <c r="L64" s="276" t="s">
        <v>48</v>
      </c>
      <c r="M64" s="240">
        <f t="shared" si="165"/>
        <v>7.3</v>
      </c>
      <c r="N64" s="273" t="s">
        <v>49</v>
      </c>
      <c r="O64" s="79">
        <v>50000</v>
      </c>
      <c r="P64" s="3">
        <f t="shared" ref="P64:Q67" si="175">O64</f>
        <v>50000</v>
      </c>
      <c r="Q64" s="82">
        <f t="shared" si="175"/>
        <v>50000</v>
      </c>
      <c r="R64" s="277">
        <f t="shared" ref="R64:R65" si="176">SUM(O64:Q64)</f>
        <v>150000</v>
      </c>
      <c r="S64" s="276">
        <f t="shared" si="167"/>
        <v>9750</v>
      </c>
      <c r="T64" s="278">
        <f t="shared" si="161"/>
        <v>159750</v>
      </c>
      <c r="U64" s="279">
        <f t="shared" si="170"/>
        <v>2568493.1506849318</v>
      </c>
      <c r="V64" s="265">
        <v>8.0000000000000002E-3</v>
      </c>
      <c r="W64" s="280">
        <f t="shared" si="162"/>
        <v>20547.945205479453</v>
      </c>
      <c r="X64" s="214">
        <v>0.46</v>
      </c>
      <c r="Y64" s="418">
        <f t="shared" si="174"/>
        <v>11095.890410958904</v>
      </c>
      <c r="Z64" s="419">
        <v>7.3</v>
      </c>
      <c r="AA64" s="217">
        <v>0.46344322376788699</v>
      </c>
      <c r="AB64" s="418">
        <f t="shared" si="171"/>
        <v>5953.5751883289258</v>
      </c>
      <c r="AC64" s="420">
        <f t="shared" si="168"/>
        <v>25.194945096864164</v>
      </c>
      <c r="AD64" s="421">
        <f>Y64*AF64</f>
        <v>1509.041095890411</v>
      </c>
      <c r="AE64" s="422">
        <f t="shared" si="163"/>
        <v>99.400871459694983</v>
      </c>
      <c r="AF64" s="201">
        <v>0.13600000000000001</v>
      </c>
      <c r="AG64" s="121" t="s">
        <v>50</v>
      </c>
      <c r="AI64" s="432">
        <v>162</v>
      </c>
      <c r="AJ64" s="433" t="s">
        <v>51</v>
      </c>
    </row>
    <row r="65" spans="1:36" s="35" customFormat="1" ht="30" customHeight="1">
      <c r="A65" s="750"/>
      <c r="B65" s="116" t="s">
        <v>81</v>
      </c>
      <c r="C65" s="116" t="s">
        <v>40</v>
      </c>
      <c r="D65" s="116" t="s">
        <v>41</v>
      </c>
      <c r="E65" s="117" t="s">
        <v>60</v>
      </c>
      <c r="F65" s="118" t="s">
        <v>63</v>
      </c>
      <c r="G65" s="119" t="s">
        <v>57</v>
      </c>
      <c r="H65" s="119" t="s">
        <v>58</v>
      </c>
      <c r="I65" s="119" t="s">
        <v>73</v>
      </c>
      <c r="J65" s="119" t="s">
        <v>47</v>
      </c>
      <c r="K65" s="120">
        <f t="shared" si="164"/>
        <v>9204.545454545454</v>
      </c>
      <c r="L65" s="276" t="s">
        <v>48</v>
      </c>
      <c r="M65" s="240">
        <f t="shared" si="165"/>
        <v>8.8000000000000007</v>
      </c>
      <c r="N65" s="273" t="s">
        <v>49</v>
      </c>
      <c r="O65" s="79">
        <v>27000</v>
      </c>
      <c r="P65" s="3">
        <f t="shared" si="175"/>
        <v>27000</v>
      </c>
      <c r="Q65" s="82">
        <f t="shared" si="175"/>
        <v>27000</v>
      </c>
      <c r="R65" s="277">
        <f t="shared" si="176"/>
        <v>81000</v>
      </c>
      <c r="S65" s="276">
        <f t="shared" si="167"/>
        <v>5265</v>
      </c>
      <c r="T65" s="278">
        <f t="shared" si="161"/>
        <v>86265</v>
      </c>
      <c r="U65" s="279">
        <f t="shared" si="170"/>
        <v>657467.53246753244</v>
      </c>
      <c r="V65" s="265">
        <v>1.4E-2</v>
      </c>
      <c r="W65" s="280">
        <f t="shared" si="162"/>
        <v>9204.545454545454</v>
      </c>
      <c r="X65" s="214">
        <v>0.46</v>
      </c>
      <c r="Y65" s="418">
        <f t="shared" si="174"/>
        <v>4970.454545454545</v>
      </c>
      <c r="Z65" s="419">
        <v>8.8000000000000007</v>
      </c>
      <c r="AA65" s="217">
        <v>0.50631299438546684</v>
      </c>
      <c r="AB65" s="418">
        <f t="shared" si="171"/>
        <v>2453.8488210885998</v>
      </c>
      <c r="AC65" s="420">
        <f t="shared" si="168"/>
        <v>33.009368508719298</v>
      </c>
      <c r="AD65" s="421">
        <f t="shared" ref="AD65:AD67" si="177">Y65*AF65</f>
        <v>775.39090909090908</v>
      </c>
      <c r="AE65" s="422">
        <f t="shared" si="163"/>
        <v>104.46343779677113</v>
      </c>
      <c r="AF65" s="201">
        <v>0.156</v>
      </c>
      <c r="AG65" s="121" t="s">
        <v>50</v>
      </c>
      <c r="AI65" s="432">
        <v>162</v>
      </c>
      <c r="AJ65" s="433" t="s">
        <v>51</v>
      </c>
    </row>
    <row r="66" spans="1:36" s="35" customFormat="1" ht="30" customHeight="1">
      <c r="A66" s="750"/>
      <c r="B66" s="303" t="s">
        <v>81</v>
      </c>
      <c r="C66" s="303" t="s">
        <v>52</v>
      </c>
      <c r="D66" s="303" t="s">
        <v>41</v>
      </c>
      <c r="E66" s="304" t="s">
        <v>60</v>
      </c>
      <c r="F66" s="305" t="s">
        <v>65</v>
      </c>
      <c r="G66" s="114" t="s">
        <v>57</v>
      </c>
      <c r="H66" s="114" t="s">
        <v>58</v>
      </c>
      <c r="I66" s="114" t="s">
        <v>73</v>
      </c>
      <c r="J66" s="114" t="s">
        <v>47</v>
      </c>
      <c r="K66" s="290">
        <f t="shared" si="164"/>
        <v>15340.90909090909</v>
      </c>
      <c r="L66" s="291" t="s">
        <v>48</v>
      </c>
      <c r="M66" s="306">
        <f t="shared" si="165"/>
        <v>8.8000000000000007</v>
      </c>
      <c r="N66" s="273" t="s">
        <v>49</v>
      </c>
      <c r="O66" s="79">
        <v>45000</v>
      </c>
      <c r="P66" s="3">
        <f t="shared" si="175"/>
        <v>45000</v>
      </c>
      <c r="Q66" s="82">
        <f t="shared" si="175"/>
        <v>45000</v>
      </c>
      <c r="R66" s="292">
        <f>SUM(O66:Q66)</f>
        <v>135000</v>
      </c>
      <c r="S66" s="291">
        <f t="shared" si="167"/>
        <v>8775</v>
      </c>
      <c r="T66" s="293">
        <f t="shared" si="161"/>
        <v>143775</v>
      </c>
      <c r="U66" s="307">
        <f t="shared" si="170"/>
        <v>1237170.0879765395</v>
      </c>
      <c r="V66" s="260">
        <v>1.24E-2</v>
      </c>
      <c r="W66" s="308">
        <f t="shared" si="162"/>
        <v>15340.90909090909</v>
      </c>
      <c r="X66" s="289">
        <v>0.46</v>
      </c>
      <c r="Y66" s="296">
        <f t="shared" si="174"/>
        <v>8284.0909090909081</v>
      </c>
      <c r="Z66" s="419">
        <v>8.8000000000000007</v>
      </c>
      <c r="AA66" s="298">
        <v>0.50631299438546684</v>
      </c>
      <c r="AB66" s="296">
        <f t="shared" si="171"/>
        <v>4089.7480351476661</v>
      </c>
      <c r="AC66" s="299">
        <f t="shared" si="168"/>
        <v>33.009368508719298</v>
      </c>
      <c r="AD66" s="300">
        <f t="shared" si="177"/>
        <v>1325.4545454545453</v>
      </c>
      <c r="AE66" s="301">
        <f t="shared" si="163"/>
        <v>101.85185185185186</v>
      </c>
      <c r="AF66" s="201">
        <v>0.16</v>
      </c>
      <c r="AG66" s="309" t="s">
        <v>50</v>
      </c>
      <c r="AI66" s="427">
        <v>162</v>
      </c>
      <c r="AJ66" s="428" t="s">
        <v>51</v>
      </c>
    </row>
    <row r="67" spans="1:36" s="35" customFormat="1" ht="30" customHeight="1" thickBot="1">
      <c r="A67" s="750"/>
      <c r="B67" s="29" t="s">
        <v>81</v>
      </c>
      <c r="C67" s="29" t="s">
        <v>66</v>
      </c>
      <c r="D67" s="29" t="s">
        <v>41</v>
      </c>
      <c r="E67" s="52" t="s">
        <v>60</v>
      </c>
      <c r="F67" s="133" t="s">
        <v>78</v>
      </c>
      <c r="G67" s="53" t="s">
        <v>57</v>
      </c>
      <c r="H67" s="53" t="s">
        <v>58</v>
      </c>
      <c r="I67" s="53" t="s">
        <v>74</v>
      </c>
      <c r="J67" s="53" t="s">
        <v>47</v>
      </c>
      <c r="K67" s="54">
        <f t="shared" si="164"/>
        <v>27692.307692307691</v>
      </c>
      <c r="L67" s="55" t="s">
        <v>48</v>
      </c>
      <c r="M67" s="310">
        <f t="shared" si="165"/>
        <v>6.5</v>
      </c>
      <c r="N67" s="273" t="s">
        <v>49</v>
      </c>
      <c r="O67" s="145">
        <v>60000</v>
      </c>
      <c r="P67" s="45">
        <f t="shared" si="175"/>
        <v>60000</v>
      </c>
      <c r="Q67" s="146">
        <f t="shared" si="175"/>
        <v>60000</v>
      </c>
      <c r="R67" s="147">
        <f>SUM(O67:Q67)</f>
        <v>180000</v>
      </c>
      <c r="S67" s="55">
        <f t="shared" si="167"/>
        <v>11700</v>
      </c>
      <c r="T67" s="148">
        <f t="shared" si="161"/>
        <v>191700</v>
      </c>
      <c r="U67" s="311">
        <f t="shared" si="170"/>
        <v>5538461.538461538</v>
      </c>
      <c r="V67" s="253">
        <v>5.0000000000000001E-3</v>
      </c>
      <c r="W67" s="312">
        <f t="shared" si="162"/>
        <v>27692.307692307691</v>
      </c>
      <c r="X67" s="205">
        <v>0.46</v>
      </c>
      <c r="Y67" s="333">
        <f t="shared" si="174"/>
        <v>14953.846153846152</v>
      </c>
      <c r="Z67" s="206">
        <v>6.5</v>
      </c>
      <c r="AA67" s="329">
        <f>54.8505743917589%*48/52</f>
        <v>0.50631299438546684</v>
      </c>
      <c r="AB67" s="333">
        <f t="shared" si="171"/>
        <v>7382.5195301127105</v>
      </c>
      <c r="AC67" s="177">
        <f t="shared" si="168"/>
        <v>24.381919921213118</v>
      </c>
      <c r="AD67" s="247">
        <f t="shared" si="177"/>
        <v>2467.3846153846152</v>
      </c>
      <c r="AE67" s="378">
        <f t="shared" si="163"/>
        <v>72.951739618406293</v>
      </c>
      <c r="AF67" s="215">
        <v>0.16500000000000001</v>
      </c>
      <c r="AG67" s="302" t="s">
        <v>50</v>
      </c>
      <c r="AI67" s="430">
        <v>162</v>
      </c>
      <c r="AJ67" s="431" t="s">
        <v>51</v>
      </c>
    </row>
    <row r="68" spans="1:36" s="72" customFormat="1" ht="30" customHeight="1" thickBot="1">
      <c r="A68" s="98" t="str">
        <f>_xlfn.CONCAT("Total ",A57)</f>
        <v>Total Epilation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100">
        <f t="shared" ref="O68:U68" si="178">SUM(O58:O67)</f>
        <v>354550</v>
      </c>
      <c r="P68" s="101">
        <f t="shared" si="178"/>
        <v>359067.46431332757</v>
      </c>
      <c r="Q68" s="102">
        <f t="shared" si="178"/>
        <v>396441.26717693772</v>
      </c>
      <c r="R68" s="100">
        <f t="shared" si="178"/>
        <v>1110058.7314902651</v>
      </c>
      <c r="S68" s="101">
        <f t="shared" si="178"/>
        <v>72153.817546867242</v>
      </c>
      <c r="T68" s="102">
        <f t="shared" si="178"/>
        <v>1182212.5490371324</v>
      </c>
      <c r="U68" s="103">
        <f t="shared" si="178"/>
        <v>11215319.115665367</v>
      </c>
      <c r="V68" s="254">
        <f>W68/U68</f>
        <v>8.8321371559392601E-3</v>
      </c>
      <c r="W68" s="104">
        <f>SUM(W58:W67)</f>
        <v>99055.23667718393</v>
      </c>
      <c r="X68" s="282">
        <f>1-Y68/W68</f>
        <v>0.38511402882940682</v>
      </c>
      <c r="Y68" s="105">
        <f>SUM(Y58:Y67)</f>
        <v>60907.6754037832</v>
      </c>
      <c r="Z68" s="182">
        <f>R68/W68</f>
        <v>11.206461856306406</v>
      </c>
      <c r="AA68" s="107">
        <f>1-AB68/Y68</f>
        <v>0.45850108048131766</v>
      </c>
      <c r="AB68" s="105">
        <f>SUM(AB58:AB67)</f>
        <v>32981.44042154323</v>
      </c>
      <c r="AC68" s="108">
        <f t="shared" si="168"/>
        <v>33.657072502060373</v>
      </c>
      <c r="AD68" s="109">
        <f>SUM(AD58:AD67)</f>
        <v>10268.140104936585</v>
      </c>
      <c r="AE68" s="106">
        <f t="shared" si="163"/>
        <v>108.10708854241142</v>
      </c>
      <c r="AF68" s="110">
        <f>AD68/Y68</f>
        <v>0.16858532257001543</v>
      </c>
      <c r="AG68" s="111">
        <f>(U62+U63)/(U62/AG62+U63/AG63)</f>
        <v>0.79791698286318913</v>
      </c>
      <c r="AH68" s="35"/>
      <c r="AI68" s="434"/>
      <c r="AJ68" s="435"/>
    </row>
    <row r="69" spans="1:36" s="72" customFormat="1" ht="30" customHeight="1" thickBot="1">
      <c r="A69" s="221" t="s">
        <v>82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3">
        <f t="shared" ref="O69:U69" si="179">O20+O32+O44+O56+O68</f>
        <v>1761450</v>
      </c>
      <c r="P69" s="224">
        <f t="shared" si="179"/>
        <v>1836641.4546857434</v>
      </c>
      <c r="Q69" s="225">
        <f t="shared" si="179"/>
        <v>1984945.7527082874</v>
      </c>
      <c r="R69" s="223">
        <f t="shared" si="179"/>
        <v>5583037.2073940299</v>
      </c>
      <c r="S69" s="224">
        <f t="shared" si="179"/>
        <v>362897.41848061199</v>
      </c>
      <c r="T69" s="226">
        <f t="shared" si="179"/>
        <v>5945934.6258746432</v>
      </c>
      <c r="U69" s="227">
        <f t="shared" si="179"/>
        <v>40703722.618299007</v>
      </c>
      <c r="V69" s="261">
        <f>W69/U69</f>
        <v>9.6920607348245542E-3</v>
      </c>
      <c r="W69" s="228">
        <f>W20+W32+W44+W56+W68</f>
        <v>394502.95175000589</v>
      </c>
      <c r="X69" s="229">
        <f>1-Y69/W69</f>
        <v>0.27577034844499637</v>
      </c>
      <c r="Y69" s="230">
        <f>Y20+Y32+Y44+Y56+Y68</f>
        <v>285710.73528332717</v>
      </c>
      <c r="Z69" s="231">
        <f>R69/W69</f>
        <v>14.152079680589987</v>
      </c>
      <c r="AA69" s="232">
        <f>1-AB69/Y69</f>
        <v>0.38360445990105874</v>
      </c>
      <c r="AB69" s="230">
        <f>AB20+AB32+AB44+AB56+AB68</f>
        <v>176110.82298703209</v>
      </c>
      <c r="AC69" s="233">
        <f t="shared" si="168"/>
        <v>31.701840424680409</v>
      </c>
      <c r="AD69" s="234">
        <f>AD20+AD32+AD44+AD56+AD68</f>
        <v>51525.720999116544</v>
      </c>
      <c r="AE69" s="235">
        <f t="shared" si="163"/>
        <v>108.35437329425737</v>
      </c>
      <c r="AF69" s="236">
        <f>AD69/Y69</f>
        <v>0.18034226452156471</v>
      </c>
      <c r="AG69" s="236"/>
      <c r="AH69" s="35"/>
      <c r="AI69" s="436"/>
      <c r="AJ69" s="437"/>
    </row>
    <row r="70" spans="1:36" s="16" customFormat="1" ht="15" thickBo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6"/>
      <c r="T70" s="4"/>
      <c r="U70" s="4"/>
      <c r="V70" s="4"/>
      <c r="W70" s="115"/>
      <c r="X70" s="22"/>
      <c r="Y70" s="4"/>
      <c r="Z70" s="14"/>
      <c r="AA70"/>
      <c r="AB70"/>
      <c r="AC70" s="4"/>
      <c r="AD70"/>
      <c r="AE70"/>
      <c r="AF70"/>
      <c r="AG70"/>
      <c r="AH70" s="20"/>
      <c r="AI70" s="72"/>
    </row>
    <row r="71" spans="1:36" s="16" customFormat="1" ht="28.2" customHeight="1" thickBot="1">
      <c r="A71" s="746" t="s">
        <v>83</v>
      </c>
      <c r="B71" s="747"/>
      <c r="C71" s="747"/>
      <c r="D71" s="748"/>
      <c r="E71"/>
      <c r="F71"/>
      <c r="G71"/>
      <c r="H71"/>
      <c r="I71"/>
      <c r="J71"/>
      <c r="K71"/>
      <c r="L71" s="1"/>
      <c r="M71" s="2"/>
      <c r="N71" s="1"/>
      <c r="O71" s="25"/>
      <c r="P71" s="25"/>
      <c r="Q71" s="30"/>
      <c r="R71" s="30"/>
      <c r="S71" s="30"/>
      <c r="T71" s="160" t="s">
        <v>84</v>
      </c>
      <c r="U71" s="74">
        <f>R69</f>
        <v>5583037.2073940299</v>
      </c>
      <c r="V71" s="112"/>
      <c r="W71" s="262"/>
      <c r="X71" s="27"/>
      <c r="Y71" s="27"/>
      <c r="Z71" s="27"/>
      <c r="AA71" s="668"/>
      <c r="AB71" s="21"/>
      <c r="AC71" s="21"/>
      <c r="AD71" s="21"/>
      <c r="AE71"/>
      <c r="AF71" s="20"/>
      <c r="AG71"/>
      <c r="AH71" s="20"/>
    </row>
    <row r="72" spans="1:36" s="16" customFormat="1" ht="28.2" customHeight="1" thickBot="1">
      <c r="A72" s="341" t="s">
        <v>6</v>
      </c>
      <c r="B72" s="342"/>
      <c r="C72" s="342" t="s">
        <v>85</v>
      </c>
      <c r="D72" s="343" t="s">
        <v>86</v>
      </c>
      <c r="E72" s="341" t="s">
        <v>87</v>
      </c>
      <c r="F72" s="394" t="s">
        <v>88</v>
      </c>
      <c r="G72"/>
      <c r="H72"/>
      <c r="I72"/>
      <c r="J72" s="1"/>
      <c r="K72" s="2"/>
      <c r="L72" s="2"/>
      <c r="M72" s="25"/>
      <c r="N72" s="25"/>
      <c r="O72" s="25"/>
      <c r="P72" s="30"/>
      <c r="Q72" s="30"/>
      <c r="R72" s="711"/>
      <c r="T72" s="161" t="s">
        <v>89</v>
      </c>
      <c r="U72" s="75">
        <f>S69</f>
        <v>362897.41848061199</v>
      </c>
      <c r="V72" s="27"/>
      <c r="W72" s="115"/>
      <c r="X72" s="27"/>
      <c r="Y72" s="668"/>
      <c r="Z72" s="21"/>
      <c r="AA72" s="21"/>
      <c r="AB72" s="36"/>
      <c r="AC72" s="18"/>
      <c r="AD72" s="20"/>
      <c r="AE72"/>
      <c r="AF72" s="20"/>
      <c r="AG72" s="23"/>
      <c r="AH72" s="35"/>
    </row>
    <row r="73" spans="1:36" s="16" customFormat="1" ht="28.2" customHeight="1" thickBot="1">
      <c r="A73" s="337" t="s">
        <v>39</v>
      </c>
      <c r="B73" s="373"/>
      <c r="C73" s="338">
        <f>SUMIF($B:$B,A73,$R:$R)</f>
        <v>1012201.2869525388</v>
      </c>
      <c r="D73" s="385">
        <f>C73/SUM($C$73:$C$77)</f>
        <v>0.18129939840128695</v>
      </c>
      <c r="E73" s="388">
        <f>5000000/4-5000000/4*6.5%</f>
        <v>1168750</v>
      </c>
      <c r="F73" s="389">
        <f t="shared" ref="F73:F76" si="180">E73-C73</f>
        <v>156548.71304746123</v>
      </c>
      <c r="G73"/>
      <c r="H73"/>
      <c r="I73"/>
      <c r="J73" s="1"/>
      <c r="K73" s="1"/>
      <c r="L73" s="1"/>
      <c r="M73" s="25"/>
      <c r="N73" s="25"/>
      <c r="O73" s="30"/>
      <c r="P73" s="30"/>
      <c r="Q73" s="30"/>
      <c r="R73" s="711"/>
      <c r="T73" s="395" t="s">
        <v>90</v>
      </c>
      <c r="U73" s="396">
        <f>SUM(U71:U72)</f>
        <v>5945934.6258746423</v>
      </c>
      <c r="V73" s="27"/>
      <c r="W73" s="115"/>
      <c r="X73" s="27"/>
      <c r="Y73" s="668"/>
      <c r="Z73" s="21"/>
      <c r="AA73" s="21"/>
      <c r="AB73" s="36"/>
      <c r="AC73"/>
      <c r="AD73" s="20"/>
      <c r="AE73"/>
      <c r="AF73" s="20"/>
      <c r="AG73" s="23"/>
    </row>
    <row r="74" spans="1:36" s="16" customFormat="1" ht="28.2" customHeight="1">
      <c r="A74" s="344" t="s">
        <v>70</v>
      </c>
      <c r="B74" s="374"/>
      <c r="C74" s="345">
        <f>SUMIF($B:$B,A74,$R:$R)</f>
        <v>1063562.3768113612</v>
      </c>
      <c r="D74" s="386">
        <f t="shared" ref="D74:D77" si="181">C74/SUM($C$73:$C$77)</f>
        <v>0.19049888748776503</v>
      </c>
      <c r="E74" s="390">
        <v>1200000</v>
      </c>
      <c r="F74" s="391">
        <f>E74-C74</f>
        <v>136437.62318863883</v>
      </c>
      <c r="G74" s="380"/>
      <c r="H74"/>
      <c r="I74"/>
      <c r="J74" s="1"/>
      <c r="K74" s="1"/>
      <c r="L74" s="1"/>
      <c r="M74" s="25"/>
      <c r="N74" s="25"/>
      <c r="O74" s="30"/>
      <c r="P74" s="30"/>
      <c r="Q74" s="30"/>
      <c r="T74" s="267" t="s">
        <v>91</v>
      </c>
      <c r="U74" s="74">
        <f>U73*20%</f>
        <v>1189186.9251749285</v>
      </c>
      <c r="V74" s="27"/>
      <c r="W74" s="115"/>
      <c r="X74" s="27"/>
      <c r="Y74" s="668"/>
      <c r="Z74" s="21"/>
      <c r="AA74" s="21"/>
      <c r="AB74" s="36"/>
      <c r="AC74"/>
      <c r="AD74" s="20"/>
      <c r="AE74"/>
      <c r="AF74" s="20"/>
      <c r="AG74" s="23"/>
    </row>
    <row r="75" spans="1:36" s="16" customFormat="1" ht="28.2" customHeight="1" thickBot="1">
      <c r="A75" s="344" t="s">
        <v>76</v>
      </c>
      <c r="B75" s="374"/>
      <c r="C75" s="345">
        <f>SUMIF($B:$B,A75,$R:$R)</f>
        <v>1422700.7586174787</v>
      </c>
      <c r="D75" s="386">
        <f t="shared" si="181"/>
        <v>0.25482559147793077</v>
      </c>
      <c r="E75" s="390">
        <v>1450000</v>
      </c>
      <c r="F75" s="391">
        <f t="shared" si="180"/>
        <v>27299.241382521344</v>
      </c>
      <c r="G75" s="380"/>
      <c r="H75"/>
      <c r="I75"/>
      <c r="J75" s="1"/>
      <c r="K75" s="1"/>
      <c r="L75" s="1"/>
      <c r="M75" s="1"/>
      <c r="N75" s="25"/>
      <c r="O75" s="25"/>
      <c r="P75" s="30"/>
      <c r="Q75" s="30"/>
      <c r="T75" s="269" t="s">
        <v>92</v>
      </c>
      <c r="U75" s="268">
        <f>SUM(U73:U74)</f>
        <v>7135121.5510495706</v>
      </c>
      <c r="V75" s="27"/>
      <c r="W75" s="115"/>
      <c r="X75" s="27"/>
      <c r="Y75" s="668"/>
      <c r="Z75"/>
      <c r="AA75" s="24"/>
      <c r="AB75"/>
      <c r="AC75"/>
      <c r="AD75"/>
      <c r="AE75"/>
      <c r="AF75" s="23"/>
      <c r="AG75" s="23"/>
    </row>
    <row r="76" spans="1:36" ht="28.2" customHeight="1">
      <c r="A76" s="331" t="s">
        <v>80</v>
      </c>
      <c r="B76" s="379"/>
      <c r="C76" s="330">
        <f>SUMIF($B:$B,A76,$R:$R)</f>
        <v>974514.05352238682</v>
      </c>
      <c r="D76" s="386">
        <f t="shared" si="181"/>
        <v>0.17454908812568284</v>
      </c>
      <c r="E76" s="390">
        <v>935000</v>
      </c>
      <c r="F76" s="391">
        <f t="shared" si="180"/>
        <v>-39514.053522386821</v>
      </c>
      <c r="G76" s="380"/>
      <c r="H76"/>
      <c r="I76"/>
      <c r="N76" s="25"/>
      <c r="O76" s="30"/>
      <c r="P76" s="30"/>
      <c r="Q76" s="30"/>
      <c r="U76" s="241">
        <v>6500000</v>
      </c>
      <c r="V76" s="27"/>
      <c r="X76" s="27"/>
      <c r="Y76" s="668"/>
      <c r="Z76" s="21"/>
      <c r="AA76" s="21"/>
      <c r="AB76" s="37"/>
      <c r="AD76" s="5"/>
      <c r="AF76" s="23"/>
      <c r="AG76" s="23"/>
      <c r="AH76" s="15"/>
    </row>
    <row r="77" spans="1:36" s="16" customFormat="1" ht="28.2" customHeight="1" thickBot="1">
      <c r="A77" s="346" t="s">
        <v>81</v>
      </c>
      <c r="B77" s="375"/>
      <c r="C77" s="347">
        <f>SUMIF($B:$B,A77,$R:$R)</f>
        <v>1110058.7314902651</v>
      </c>
      <c r="D77" s="387">
        <f t="shared" si="181"/>
        <v>0.19882703450733447</v>
      </c>
      <c r="E77" s="392">
        <v>935000</v>
      </c>
      <c r="F77" s="393">
        <f>E77-C77</f>
        <v>-175058.73149026511</v>
      </c>
      <c r="G77"/>
      <c r="H77"/>
      <c r="I77"/>
      <c r="J77" s="1"/>
      <c r="K77" s="1"/>
      <c r="L77" s="1"/>
      <c r="M77" s="25"/>
      <c r="N77" s="25"/>
      <c r="O77" s="30"/>
      <c r="P77" s="30"/>
      <c r="Q77" s="30"/>
      <c r="T77" s="1"/>
      <c r="U77" s="241">
        <f>U76-U73</f>
        <v>554065.37412535772</v>
      </c>
      <c r="V77" s="27"/>
      <c r="W77" s="115"/>
      <c r="X77" s="27"/>
      <c r="Y77" s="668"/>
      <c r="Z77" s="21"/>
      <c r="AA77" s="21"/>
      <c r="AB77" s="36"/>
      <c r="AC77"/>
      <c r="AD77" s="20"/>
      <c r="AE77"/>
      <c r="AF77" s="20"/>
      <c r="AG77" s="23"/>
    </row>
    <row r="79" spans="1:36" ht="28.2" customHeight="1">
      <c r="A79"/>
      <c r="B79"/>
      <c r="C79"/>
      <c r="D79"/>
      <c r="E79" s="6"/>
      <c r="F79"/>
      <c r="G79" s="13"/>
      <c r="H79" s="41"/>
      <c r="I79"/>
      <c r="N79" s="25"/>
      <c r="O79" s="25"/>
      <c r="P79" s="30"/>
      <c r="Q79" s="30"/>
      <c r="V79" s="27"/>
      <c r="X79" s="27"/>
      <c r="Y79" s="668"/>
      <c r="Z79" s="21"/>
      <c r="AA79" s="21"/>
      <c r="AB79" s="21"/>
      <c r="AF79" s="23"/>
      <c r="AG79" s="23"/>
      <c r="AH79" s="15"/>
    </row>
    <row r="80" spans="1:36" ht="28.2" customHeight="1">
      <c r="A80"/>
      <c r="B80"/>
      <c r="C80"/>
      <c r="D80"/>
      <c r="E80"/>
      <c r="F80"/>
      <c r="G80" s="13"/>
      <c r="H80" s="41"/>
      <c r="I80"/>
      <c r="N80" s="25"/>
      <c r="O80" s="30"/>
      <c r="P80" s="30"/>
      <c r="Q80" s="30"/>
      <c r="V80" s="27"/>
      <c r="X80" s="27"/>
      <c r="Y80" s="668"/>
      <c r="Z80" s="21"/>
      <c r="AA80" s="21"/>
      <c r="AB80" s="21"/>
      <c r="AF80" s="23"/>
      <c r="AG80" s="23"/>
      <c r="AH80" s="15"/>
    </row>
    <row r="81" spans="1:34" ht="28.2" customHeight="1">
      <c r="A81"/>
      <c r="B81"/>
      <c r="C81"/>
      <c r="D81"/>
      <c r="E81"/>
      <c r="F81"/>
      <c r="G81" s="13"/>
      <c r="N81" s="25"/>
      <c r="O81" s="25"/>
      <c r="P81" s="30"/>
      <c r="Q81" s="30"/>
      <c r="V81" s="27"/>
      <c r="X81" s="27"/>
      <c r="Y81" s="668"/>
      <c r="Z81" s="21"/>
      <c r="AA81" s="21"/>
      <c r="AB81" s="21"/>
      <c r="AF81" s="23"/>
      <c r="AG81" s="23"/>
      <c r="AH81" s="15"/>
    </row>
    <row r="82" spans="1:34" ht="28.2" customHeight="1">
      <c r="A82"/>
      <c r="B82"/>
      <c r="C82"/>
      <c r="D82"/>
      <c r="E82"/>
      <c r="F82"/>
      <c r="G82" s="13"/>
      <c r="N82" s="26"/>
      <c r="O82" s="30"/>
      <c r="P82" s="30"/>
      <c r="Q82" s="30"/>
      <c r="R82" s="13"/>
      <c r="S82" s="76"/>
      <c r="T82" s="13"/>
      <c r="V82" s="27"/>
      <c r="X82" s="27"/>
      <c r="Y82" s="668"/>
      <c r="Z82" s="21"/>
      <c r="AA82" s="21"/>
      <c r="AB82" s="21"/>
      <c r="AF82" s="23"/>
      <c r="AG82" s="23"/>
      <c r="AH82" s="15"/>
    </row>
    <row r="83" spans="1:34" ht="28.2" customHeight="1">
      <c r="A83"/>
      <c r="B83"/>
      <c r="C83"/>
      <c r="D83"/>
      <c r="E83"/>
      <c r="N83" s="26"/>
      <c r="O83" s="30"/>
      <c r="P83" s="30"/>
      <c r="Q83" s="30"/>
      <c r="T83" s="13"/>
      <c r="V83" s="27"/>
      <c r="X83" s="27"/>
      <c r="Y83" s="668"/>
      <c r="Z83" s="21"/>
      <c r="AA83" s="21"/>
      <c r="AB83" s="21"/>
      <c r="AF83" s="23"/>
      <c r="AG83" s="23"/>
      <c r="AH83" s="15"/>
    </row>
    <row r="84" spans="1:34" ht="28.2" customHeight="1">
      <c r="A84"/>
      <c r="B84"/>
      <c r="C84"/>
      <c r="D84"/>
      <c r="E84"/>
      <c r="N84" s="26"/>
      <c r="O84" s="30"/>
      <c r="P84" s="30"/>
      <c r="Q84" s="30"/>
      <c r="T84" s="13"/>
      <c r="V84" s="27"/>
      <c r="X84" s="27"/>
      <c r="AG84" s="23"/>
      <c r="AH84" s="15"/>
    </row>
    <row r="85" spans="1:34" ht="28.2" customHeight="1">
      <c r="A85"/>
      <c r="B85"/>
      <c r="C85"/>
      <c r="D85"/>
      <c r="E85"/>
      <c r="N85" s="26"/>
      <c r="O85" s="30"/>
      <c r="P85" s="30"/>
      <c r="Q85" s="30"/>
      <c r="T85" s="13"/>
      <c r="U85" s="76"/>
      <c r="V85" s="27"/>
      <c r="X85" s="27"/>
      <c r="AG85" s="23"/>
      <c r="AH85" s="15"/>
    </row>
    <row r="86" spans="1:34" ht="28.2" customHeight="1">
      <c r="A86"/>
      <c r="B86"/>
      <c r="C86"/>
      <c r="D86"/>
      <c r="E86"/>
      <c r="G86" s="13"/>
      <c r="H86" s="13"/>
      <c r="I86" s="13"/>
      <c r="J86" s="56"/>
      <c r="K86" s="13"/>
      <c r="M86" s="13"/>
      <c r="N86" s="26"/>
      <c r="O86" s="30"/>
      <c r="P86" s="30"/>
      <c r="Q86" s="30"/>
      <c r="R86" s="13"/>
      <c r="S86" s="13"/>
      <c r="T86" s="13"/>
      <c r="U86" s="2"/>
      <c r="V86" s="27"/>
      <c r="X86" s="27"/>
      <c r="AG86" s="23"/>
      <c r="AH86" s="15"/>
    </row>
    <row r="87" spans="1:34" ht="28.2" customHeight="1">
      <c r="A87"/>
      <c r="B87"/>
      <c r="C87"/>
      <c r="D87"/>
      <c r="E87"/>
      <c r="G87" s="13"/>
      <c r="H87" s="13"/>
      <c r="I87" s="13"/>
      <c r="J87" s="13"/>
      <c r="K87" s="13"/>
      <c r="M87" s="13"/>
      <c r="N87" s="26"/>
      <c r="O87" s="30"/>
      <c r="P87" s="30"/>
      <c r="Q87" s="30"/>
      <c r="R87" s="13"/>
      <c r="S87" s="13"/>
      <c r="T87" s="13"/>
      <c r="U87" s="2"/>
      <c r="V87" s="27"/>
      <c r="X87" s="27"/>
      <c r="AG87" s="23"/>
      <c r="AH87" s="15"/>
    </row>
    <row r="88" spans="1:34" ht="28.2" customHeight="1">
      <c r="G88" s="13"/>
      <c r="H88" s="13"/>
      <c r="I88" s="13"/>
      <c r="J88" s="13"/>
      <c r="K88" s="13"/>
      <c r="M88" s="13"/>
      <c r="N88" s="26"/>
      <c r="O88" s="30"/>
      <c r="P88" s="30"/>
      <c r="Q88" s="30"/>
      <c r="R88" s="13"/>
      <c r="S88" s="13"/>
      <c r="T88" s="13"/>
      <c r="U88" s="13"/>
      <c r="V88" s="27"/>
      <c r="X88" s="27"/>
      <c r="AG88" s="23"/>
      <c r="AH88" s="15"/>
    </row>
    <row r="89" spans="1:34" ht="28.2" customHeight="1">
      <c r="H89"/>
      <c r="I89" s="13"/>
      <c r="P89" s="26"/>
      <c r="Q89" s="30"/>
      <c r="R89" s="30"/>
      <c r="S89" s="30"/>
      <c r="T89" s="13"/>
      <c r="U89" s="13"/>
      <c r="V89" s="76"/>
      <c r="X89" s="27"/>
      <c r="Y89" s="27"/>
      <c r="Z89" s="27"/>
      <c r="AA89" s="668"/>
      <c r="AB89" s="21"/>
      <c r="AC89" s="21"/>
      <c r="AD89" s="21"/>
      <c r="AH89" s="23"/>
    </row>
    <row r="90" spans="1:34" ht="28.2" customHeight="1">
      <c r="I90" s="13"/>
      <c r="P90" s="26"/>
      <c r="Q90" s="30"/>
      <c r="R90" s="30"/>
      <c r="S90" s="30"/>
      <c r="T90" s="13"/>
      <c r="U90" s="13"/>
      <c r="V90" s="2"/>
      <c r="X90" s="27"/>
      <c r="Y90" s="27"/>
      <c r="Z90" s="27"/>
      <c r="AA90" s="668"/>
      <c r="AB90" s="21"/>
      <c r="AC90" s="21"/>
      <c r="AD90" s="21"/>
      <c r="AH90" s="23"/>
    </row>
    <row r="91" spans="1:34" ht="28.2" customHeight="1">
      <c r="P91" s="26"/>
      <c r="Q91" s="30"/>
      <c r="R91" s="30"/>
      <c r="S91" s="30"/>
      <c r="T91" s="13"/>
      <c r="U91" s="13"/>
      <c r="V91" s="2"/>
      <c r="X91" s="27"/>
      <c r="Y91" s="27"/>
      <c r="Z91" s="27"/>
      <c r="AA91" s="668"/>
      <c r="AB91" s="21"/>
      <c r="AC91" s="21"/>
      <c r="AD91" s="21"/>
      <c r="AH91" s="23"/>
    </row>
    <row r="92" spans="1:34" s="17" customFormat="1" ht="28.2" customHeight="1">
      <c r="I92" s="13"/>
      <c r="J92" s="13"/>
      <c r="K92" s="13"/>
      <c r="L92" s="13"/>
      <c r="M92" s="13"/>
      <c r="N92" s="13"/>
      <c r="O92" s="13"/>
      <c r="P92" s="13"/>
      <c r="Q92" s="30"/>
      <c r="R92" s="30"/>
      <c r="S92" s="30"/>
      <c r="T92" s="13"/>
      <c r="U92" s="13"/>
      <c r="V92" s="13"/>
      <c r="W92" s="245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s="17" customFormat="1" ht="28.2" customHeight="1"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45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s="17" customFormat="1" ht="28.2" customHeight="1"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"/>
      <c r="U94" s="1"/>
      <c r="V94" s="13"/>
      <c r="W94" s="245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s="17" customFormat="1" ht="28.2" customHeight="1"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"/>
      <c r="U95" s="1"/>
      <c r="V95" s="13"/>
      <c r="W95" s="245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s="17" customFormat="1" ht="28.2" customHeight="1"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"/>
      <c r="U96" s="1"/>
      <c r="V96" s="13"/>
      <c r="W96" s="245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9:34" s="17" customFormat="1" ht="18" customHeight="1"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"/>
      <c r="U97" s="1"/>
      <c r="V97" s="13"/>
      <c r="W97" s="245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9:34" s="17" customFormat="1" ht="18" customHeight="1"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"/>
      <c r="U98" s="1"/>
      <c r="V98" s="1"/>
      <c r="W98" s="245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9:34" s="17" customFormat="1" ht="18" customHeight="1"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"/>
      <c r="U99" s="1"/>
      <c r="V99" s="1"/>
      <c r="W99" s="245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9:34" s="17" customFormat="1" ht="18" customHeight="1">
      <c r="I100" s="1"/>
      <c r="J100" s="1"/>
      <c r="K100" s="1"/>
      <c r="L100" s="1"/>
      <c r="M100" s="1"/>
      <c r="N100" s="1"/>
      <c r="O100" s="1"/>
      <c r="P100" s="1"/>
      <c r="Q100" s="13"/>
      <c r="R100" s="13"/>
      <c r="S100" s="13"/>
      <c r="T100" s="1"/>
      <c r="U100" s="1"/>
      <c r="V100" s="1"/>
      <c r="W100" s="245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9:34" s="65" customFormat="1" ht="18" customHeight="1">
      <c r="I101" s="1"/>
      <c r="J101" s="1"/>
      <c r="K101" s="1"/>
      <c r="L101" s="1"/>
      <c r="M101" s="1"/>
      <c r="N101" s="1"/>
      <c r="O101" s="1"/>
      <c r="P101" s="1"/>
      <c r="Q101" s="13"/>
      <c r="R101" s="13"/>
      <c r="S101" s="13"/>
      <c r="T101" s="1"/>
      <c r="U101" s="1"/>
      <c r="V101" s="1"/>
      <c r="W101" s="26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9:34" s="35" customFormat="1" ht="11.4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64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9:34" s="35" customFormat="1" ht="11.4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64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</sheetData>
  <mergeCells count="11">
    <mergeCell ref="A71:D71"/>
    <mergeCell ref="A58:A61"/>
    <mergeCell ref="A62:A67"/>
    <mergeCell ref="A46:A49"/>
    <mergeCell ref="A50:A55"/>
    <mergeCell ref="A38:A43"/>
    <mergeCell ref="A10:A13"/>
    <mergeCell ref="A22:A25"/>
    <mergeCell ref="A34:A37"/>
    <mergeCell ref="A26:A31"/>
    <mergeCell ref="A14:A19"/>
  </mergeCells>
  <phoneticPr fontId="2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EF3C-CF0E-F848-9DF8-48DED3C5F019}">
  <sheetPr>
    <tabColor rgb="FF92D050"/>
  </sheetPr>
  <dimension ref="A1:CB57"/>
  <sheetViews>
    <sheetView showGridLines="0" tabSelected="1" zoomScale="80" zoomScaleNormal="80" workbookViewId="0">
      <pane ySplit="1" topLeftCell="A2" activePane="bottomLeft" state="frozen"/>
      <selection activeCell="L35" sqref="L35"/>
      <selection pane="bottomLeft" activeCell="Q9" sqref="Q9"/>
    </sheetView>
  </sheetViews>
  <sheetFormatPr defaultColWidth="8.5546875" defaultRowHeight="14.4"/>
  <cols>
    <col min="5" max="5" width="3.77734375" customWidth="1"/>
    <col min="6" max="6" width="21.33203125" bestFit="1" customWidth="1"/>
    <col min="7" max="8" width="13.77734375" customWidth="1"/>
    <col min="9" max="12" width="13.77734375" hidden="1" customWidth="1"/>
    <col min="13" max="14" width="13.77734375" customWidth="1"/>
    <col min="15" max="15" width="7.21875" style="417" bestFit="1" customWidth="1"/>
    <col min="16" max="16" width="8.77734375" style="195" bestFit="1" customWidth="1"/>
    <col min="17" max="17" width="21.33203125" style="195" customWidth="1"/>
    <col min="18" max="18" width="20.109375" style="195" customWidth="1"/>
    <col min="19" max="20" width="13.77734375" customWidth="1"/>
    <col min="21" max="23" width="11.77734375" hidden="1" customWidth="1"/>
    <col min="24" max="24" width="13.33203125" hidden="1" customWidth="1"/>
    <col min="25" max="26" width="13.77734375" customWidth="1"/>
    <col min="27" max="27" width="2.21875" style="403" customWidth="1"/>
    <col min="28" max="28" width="5.21875" style="195" bestFit="1" customWidth="1"/>
    <col min="29" max="29" width="8.77734375" style="195" bestFit="1" customWidth="1"/>
    <col min="30" max="30" width="10.21875" style="195" customWidth="1"/>
    <col min="31" max="31" width="20.21875" style="195" customWidth="1"/>
    <col min="32" max="33" width="13.77734375" customWidth="1"/>
    <col min="34" max="37" width="13.33203125" hidden="1" customWidth="1"/>
    <col min="38" max="39" width="13.77734375" customWidth="1"/>
    <col min="40" max="40" width="2.21875" bestFit="1" customWidth="1"/>
    <col min="41" max="41" width="5.6640625" style="417" bestFit="1" customWidth="1"/>
    <col min="42" max="42" width="8.77734375" style="195" bestFit="1" customWidth="1"/>
    <col min="43" max="43" width="10.21875" style="195" customWidth="1"/>
    <col min="44" max="44" width="21.33203125" style="195" bestFit="1" customWidth="1"/>
    <col min="45" max="45" width="13.6640625" hidden="1" customWidth="1"/>
    <col min="46" max="46" width="13.77734375" customWidth="1"/>
    <col min="47" max="50" width="13.6640625" hidden="1" customWidth="1"/>
    <col min="51" max="51" width="13.77734375" customWidth="1"/>
    <col min="52" max="52" width="2.21875" customWidth="1"/>
    <col min="53" max="53" width="4.77734375" style="417" bestFit="1" customWidth="1"/>
    <col min="54" max="54" width="8.77734375" bestFit="1" customWidth="1"/>
    <col min="55" max="55" width="10.21875" customWidth="1"/>
    <col min="56" max="56" width="21.33203125" bestFit="1" customWidth="1"/>
    <col min="57" max="57" width="13.77734375" customWidth="1"/>
    <col min="58" max="62" width="13.33203125" hidden="1" customWidth="1"/>
    <col min="63" max="64" width="13.77734375" customWidth="1"/>
    <col min="65" max="65" width="5.77734375" style="461" bestFit="1" customWidth="1"/>
    <col min="66" max="66" width="21.33203125" style="195" bestFit="1" customWidth="1"/>
    <col min="67" max="67" width="6.21875" style="195" customWidth="1"/>
    <col min="68" max="68" width="20.6640625" customWidth="1"/>
    <col min="69" max="70" width="13.77734375" customWidth="1"/>
    <col min="71" max="74" width="13.77734375" hidden="1" customWidth="1"/>
    <col min="75" max="76" width="13.77734375" customWidth="1"/>
    <col min="77" max="77" width="2.21875" bestFit="1" customWidth="1"/>
    <col min="78" max="78" width="5" style="417" bestFit="1" customWidth="1"/>
    <col min="79" max="79" width="17.44140625" bestFit="1" customWidth="1"/>
    <col min="80" max="84" width="13.77734375" customWidth="1"/>
    <col min="85" max="85" width="11.6640625" bestFit="1" customWidth="1"/>
  </cols>
  <sheetData>
    <row r="1" spans="1:76" ht="16.2" customHeight="1" thickBot="1">
      <c r="A1" s="38"/>
      <c r="B1" s="39"/>
      <c r="C1" s="39"/>
      <c r="D1" s="39"/>
      <c r="E1" s="39"/>
      <c r="G1" s="754" t="s">
        <v>39</v>
      </c>
      <c r="H1" s="755"/>
      <c r="I1" s="755"/>
      <c r="J1" s="755"/>
      <c r="K1" s="755"/>
      <c r="L1" s="755"/>
      <c r="M1" s="755"/>
      <c r="N1" s="756"/>
      <c r="O1" s="457"/>
      <c r="S1" s="754" t="s">
        <v>70</v>
      </c>
      <c r="T1" s="755"/>
      <c r="U1" s="755"/>
      <c r="V1" s="755"/>
      <c r="W1" s="755"/>
      <c r="X1" s="755"/>
      <c r="Y1" s="755"/>
      <c r="Z1" s="756"/>
      <c r="AA1" s="404"/>
      <c r="AF1" s="754" t="s">
        <v>76</v>
      </c>
      <c r="AG1" s="755"/>
      <c r="AH1" s="755"/>
      <c r="AI1" s="755"/>
      <c r="AJ1" s="755"/>
      <c r="AK1" s="755"/>
      <c r="AL1" s="755"/>
      <c r="AM1" s="756"/>
      <c r="AN1" s="398"/>
      <c r="AS1" s="754" t="s">
        <v>80</v>
      </c>
      <c r="AT1" s="755"/>
      <c r="AU1" s="755"/>
      <c r="AV1" s="755"/>
      <c r="AW1" s="755"/>
      <c r="AX1" s="755"/>
      <c r="AY1" s="756"/>
      <c r="AZ1" s="398"/>
      <c r="BE1" s="754" t="s">
        <v>568</v>
      </c>
      <c r="BF1" s="755"/>
      <c r="BG1" s="755"/>
      <c r="BH1" s="755"/>
      <c r="BI1" s="755"/>
      <c r="BJ1" s="755"/>
      <c r="BK1" s="755"/>
      <c r="BL1" s="756"/>
      <c r="BP1" s="40"/>
      <c r="BQ1" s="751" t="s">
        <v>90</v>
      </c>
      <c r="BR1" s="752"/>
      <c r="BS1" s="752"/>
      <c r="BT1" s="752"/>
      <c r="BU1" s="752"/>
      <c r="BV1" s="752"/>
      <c r="BW1" s="752"/>
      <c r="BX1" s="753"/>
    </row>
    <row r="3" spans="1:76" ht="18.600000000000001" thickBot="1">
      <c r="B3" s="192" t="s">
        <v>44</v>
      </c>
    </row>
    <row r="4" spans="1:76" ht="16.2" customHeight="1" thickBot="1">
      <c r="A4" s="38"/>
      <c r="B4" s="39"/>
      <c r="C4" s="39"/>
      <c r="D4" s="39"/>
      <c r="E4" s="39"/>
      <c r="G4" s="754" t="s">
        <v>93</v>
      </c>
      <c r="H4" s="755"/>
      <c r="I4" s="755"/>
      <c r="J4" s="755"/>
      <c r="K4" s="755"/>
      <c r="L4" s="755"/>
      <c r="M4" s="755"/>
      <c r="N4" s="756"/>
      <c r="O4" s="457"/>
      <c r="S4" s="754" t="s">
        <v>94</v>
      </c>
      <c r="T4" s="755"/>
      <c r="U4" s="755"/>
      <c r="V4" s="755"/>
      <c r="W4" s="755"/>
      <c r="X4" s="755"/>
      <c r="Y4" s="755"/>
      <c r="Z4" s="756"/>
      <c r="AA4" s="404"/>
      <c r="AF4" s="754" t="s">
        <v>95</v>
      </c>
      <c r="AG4" s="755"/>
      <c r="AH4" s="755"/>
      <c r="AI4" s="755"/>
      <c r="AJ4" s="755"/>
      <c r="AK4" s="755"/>
      <c r="AL4" s="755"/>
      <c r="AM4" s="756"/>
      <c r="AN4" s="398"/>
      <c r="AS4" s="754" t="s">
        <v>96</v>
      </c>
      <c r="AT4" s="755"/>
      <c r="AU4" s="755"/>
      <c r="AV4" s="755"/>
      <c r="AW4" s="755"/>
      <c r="AX4" s="755"/>
      <c r="AY4" s="756"/>
      <c r="AZ4" s="398"/>
      <c r="BE4" s="754" t="s">
        <v>97</v>
      </c>
      <c r="BF4" s="755"/>
      <c r="BG4" s="755"/>
      <c r="BH4" s="755"/>
      <c r="BI4" s="755"/>
      <c r="BJ4" s="755"/>
      <c r="BK4" s="755"/>
      <c r="BL4" s="756"/>
      <c r="BP4" s="40"/>
      <c r="BQ4" s="751" t="s">
        <v>98</v>
      </c>
      <c r="BR4" s="752"/>
      <c r="BS4" s="752"/>
      <c r="BT4" s="752"/>
      <c r="BU4" s="752"/>
      <c r="BV4" s="752"/>
      <c r="BW4" s="752"/>
      <c r="BX4" s="753"/>
    </row>
    <row r="5" spans="1:76" ht="15" thickBot="1">
      <c r="A5" s="40"/>
      <c r="B5" s="40"/>
      <c r="C5" s="40"/>
      <c r="D5" s="40"/>
      <c r="E5" s="40"/>
      <c r="G5" s="69" t="s">
        <v>99</v>
      </c>
      <c r="H5" s="438" t="s">
        <v>100</v>
      </c>
      <c r="I5" s="438" t="s">
        <v>565</v>
      </c>
      <c r="J5" s="438" t="s">
        <v>566</v>
      </c>
      <c r="K5" s="700" t="s">
        <v>569</v>
      </c>
      <c r="L5" s="700" t="s">
        <v>570</v>
      </c>
      <c r="M5" s="70" t="s">
        <v>101</v>
      </c>
      <c r="N5" s="71" t="s">
        <v>102</v>
      </c>
      <c r="O5" s="457"/>
      <c r="S5" s="69" t="s">
        <v>99</v>
      </c>
      <c r="T5" s="438" t="s">
        <v>100</v>
      </c>
      <c r="U5" s="438" t="s">
        <v>565</v>
      </c>
      <c r="V5" s="438" t="s">
        <v>566</v>
      </c>
      <c r="W5" s="700" t="s">
        <v>569</v>
      </c>
      <c r="X5" s="700" t="s">
        <v>570</v>
      </c>
      <c r="Y5" s="70" t="s">
        <v>101</v>
      </c>
      <c r="Z5" s="71" t="s">
        <v>102</v>
      </c>
      <c r="AA5" s="406"/>
      <c r="AF5" s="69" t="s">
        <v>99</v>
      </c>
      <c r="AG5" s="438" t="s">
        <v>100</v>
      </c>
      <c r="AH5" s="438" t="s">
        <v>565</v>
      </c>
      <c r="AI5" s="438" t="s">
        <v>566</v>
      </c>
      <c r="AJ5" s="700" t="s">
        <v>569</v>
      </c>
      <c r="AK5" s="700" t="s">
        <v>570</v>
      </c>
      <c r="AL5" s="70" t="s">
        <v>101</v>
      </c>
      <c r="AM5" s="71" t="s">
        <v>102</v>
      </c>
      <c r="AN5" s="399"/>
      <c r="AS5" s="69" t="s">
        <v>99</v>
      </c>
      <c r="AT5" s="438" t="s">
        <v>100</v>
      </c>
      <c r="AU5" s="687" t="s">
        <v>565</v>
      </c>
      <c r="AV5" s="687" t="s">
        <v>566</v>
      </c>
      <c r="AW5" s="699" t="s">
        <v>567</v>
      </c>
      <c r="AX5" s="70" t="s">
        <v>101</v>
      </c>
      <c r="AY5" s="71" t="s">
        <v>102</v>
      </c>
      <c r="AZ5" s="399"/>
      <c r="BE5" s="69" t="s">
        <v>99</v>
      </c>
      <c r="BF5" s="438" t="s">
        <v>100</v>
      </c>
      <c r="BG5" s="438" t="s">
        <v>565</v>
      </c>
      <c r="BH5" s="438" t="s">
        <v>566</v>
      </c>
      <c r="BI5" s="708" t="s">
        <v>567</v>
      </c>
      <c r="BJ5" s="700" t="s">
        <v>570</v>
      </c>
      <c r="BK5" s="70" t="s">
        <v>101</v>
      </c>
      <c r="BL5" s="71" t="s">
        <v>102</v>
      </c>
      <c r="BP5" s="40"/>
      <c r="BQ5" s="69" t="s">
        <v>99</v>
      </c>
      <c r="BR5" s="438" t="s">
        <v>100</v>
      </c>
      <c r="BS5" s="687" t="s">
        <v>565</v>
      </c>
      <c r="BT5" s="687" t="s">
        <v>566</v>
      </c>
      <c r="BU5" s="708" t="s">
        <v>567</v>
      </c>
      <c r="BV5" s="700" t="s">
        <v>570</v>
      </c>
      <c r="BW5" s="70" t="s">
        <v>101</v>
      </c>
      <c r="BX5" s="71" t="s">
        <v>102</v>
      </c>
    </row>
    <row r="6" spans="1:76">
      <c r="A6" s="40"/>
      <c r="B6" s="40"/>
      <c r="C6" s="40"/>
      <c r="D6" s="40"/>
      <c r="F6" s="381" t="s">
        <v>562</v>
      </c>
      <c r="G6" s="353">
        <v>506002.20833333349</v>
      </c>
      <c r="H6" s="447">
        <v>571715.06999999995</v>
      </c>
      <c r="I6" s="694">
        <v>526705.75</v>
      </c>
      <c r="J6" s="705">
        <v>273266.21000000008</v>
      </c>
      <c r="K6" s="694">
        <f>'Heating Brush Q4'!AD3</f>
        <v>583300.8536112674</v>
      </c>
      <c r="L6" s="694">
        <f>K6</f>
        <v>583300.8536112674</v>
      </c>
      <c r="M6" s="359">
        <f>'Heating Brush Q4'!$AD$113</f>
        <v>328746.58999999997</v>
      </c>
      <c r="N6" s="66">
        <f>SUMIFS('SEM_Q1''21_Beauty'!$R$10:$R$68,'SEM_Q1''21_Beauty'!$B$10:$B$68,"Heating Brush",'SEM_Q1''21_Beauty'!$G$10:$G$68,"Search")</f>
        <v>592201.28695253877</v>
      </c>
      <c r="O6" s="457"/>
      <c r="P6" s="194"/>
      <c r="R6" s="381" t="s">
        <v>562</v>
      </c>
      <c r="S6" s="353">
        <v>95462.540000000008</v>
      </c>
      <c r="T6" s="447">
        <v>402507.81</v>
      </c>
      <c r="U6" s="694">
        <v>424306.24</v>
      </c>
      <c r="V6" s="705">
        <v>579963.20000000007</v>
      </c>
      <c r="W6" s="694">
        <f>'Straightener Q4'!AD3</f>
        <v>515258.11526666663</v>
      </c>
      <c r="X6" s="694">
        <f>W6</f>
        <v>515258.11526666663</v>
      </c>
      <c r="Y6" s="359">
        <f>'Straightener Q4'!$AD$113</f>
        <v>508545.87</v>
      </c>
      <c r="Z6" s="66">
        <f>SUMIFS('SEM_Q1''21_Beauty'!$R$10:$R$68,'SEM_Q1''21_Beauty'!$B$10:$B$68,"Straightener",'SEM_Q1''21_Beauty'!$G$10:$G$68,"Search")</f>
        <v>733562.37681136117</v>
      </c>
      <c r="AA6" s="407"/>
      <c r="AE6" s="381" t="s">
        <v>562</v>
      </c>
      <c r="AF6" s="353">
        <v>153555.1</v>
      </c>
      <c r="AG6" s="447">
        <v>894492.08500000008</v>
      </c>
      <c r="AH6" s="694">
        <v>706787.19000000006</v>
      </c>
      <c r="AI6" s="705">
        <v>641020.85000000009</v>
      </c>
      <c r="AJ6" s="694">
        <f>'Hair Dryer Q4'!AD3</f>
        <v>808193.39989666687</v>
      </c>
      <c r="AK6" s="694">
        <f>AJ6</f>
        <v>808193.39989666687</v>
      </c>
      <c r="AL6" s="359">
        <f>'Hair Dryer Q4'!$AD$113</f>
        <v>862790.3</v>
      </c>
      <c r="AM6" s="66">
        <f>SUMIFS('SEM_Q1''21_Beauty'!$R$10:$R$68,'SEM_Q1''21_Beauty'!$B$10:$B$68,"Hair Dryer",'SEM_Q1''21_Beauty'!$G$10:$G$68,"Search")</f>
        <v>1089700.7586174787</v>
      </c>
      <c r="AN6" s="413"/>
      <c r="AP6" s="194"/>
      <c r="AQ6" s="194"/>
      <c r="AR6" s="381" t="s">
        <v>562</v>
      </c>
      <c r="AS6" s="372"/>
      <c r="AT6" s="445">
        <v>168610</v>
      </c>
      <c r="AU6" s="693"/>
      <c r="AV6" s="693"/>
      <c r="AW6" s="693"/>
      <c r="AX6" s="68"/>
      <c r="AY6" s="67">
        <f>SUMIFS('SEM_Q1''21_Beauty'!$R$10:$R$68,'SEM_Q1''21_Beauty'!$B$10:$B$68,"Autocurler",'SEM_Q1''21_Beauty'!$G$10:$G$68,"Search")</f>
        <v>614514.05352238682</v>
      </c>
      <c r="AZ6" s="413"/>
      <c r="BD6" s="381" t="s">
        <v>562</v>
      </c>
      <c r="BE6" s="353">
        <v>428417.43</v>
      </c>
      <c r="BF6" s="456"/>
      <c r="BG6" s="694"/>
      <c r="BH6" s="709">
        <v>612695.28</v>
      </c>
      <c r="BI6" s="694">
        <f>'Femdep Q4'!AD3</f>
        <v>570045.02741666674</v>
      </c>
      <c r="BJ6" s="694">
        <f>BI6</f>
        <v>570045.02741666674</v>
      </c>
      <c r="BK6" s="359">
        <f>'Femdep Q4'!$AD$113</f>
        <v>501310.17</v>
      </c>
      <c r="BL6" s="66">
        <f>SUMIFS('SEM_Q1''21_Beauty'!$R$10:$R$68,'SEM_Q1''21_Beauty'!$B$10:$B$68,"Epilation",'SEM_Q1''21_Beauty'!$G$10:$G$68,"Search")</f>
        <v>516058.73149026523</v>
      </c>
      <c r="BP6" s="381" t="s">
        <v>562</v>
      </c>
      <c r="BQ6" s="370">
        <f t="shared" ref="BQ6:BV7" si="0">G6+S6+AF6+AS6+BE6</f>
        <v>1183437.2783333336</v>
      </c>
      <c r="BR6" s="439">
        <f t="shared" si="0"/>
        <v>2037324.9649999999</v>
      </c>
      <c r="BS6" s="697">
        <f t="shared" si="0"/>
        <v>1657799.1800000002</v>
      </c>
      <c r="BT6" s="697">
        <f t="shared" si="0"/>
        <v>2106945.54</v>
      </c>
      <c r="BU6" s="697">
        <f t="shared" si="0"/>
        <v>2476797.3961912673</v>
      </c>
      <c r="BV6" s="697">
        <f t="shared" si="0"/>
        <v>2476797.3961912673</v>
      </c>
      <c r="BW6" s="368">
        <f>M6+Y6+AL6+AX6+BK6</f>
        <v>2201392.9300000002</v>
      </c>
      <c r="BX6" s="369">
        <f>N6+Z6+AM6+AY6+BL6</f>
        <v>3546037.2073940304</v>
      </c>
    </row>
    <row r="7" spans="1:76">
      <c r="A7" s="40"/>
      <c r="B7" s="40"/>
      <c r="C7" s="40"/>
      <c r="D7" s="40"/>
      <c r="F7" s="382" t="s">
        <v>26</v>
      </c>
      <c r="G7" s="354">
        <v>24889</v>
      </c>
      <c r="H7" s="440">
        <v>21674</v>
      </c>
      <c r="I7" s="440">
        <v>14128</v>
      </c>
      <c r="J7" s="360">
        <v>12057</v>
      </c>
      <c r="K7" s="440">
        <f>'Heating Brush Q4'!AE3</f>
        <v>25347.676453287906</v>
      </c>
      <c r="L7" s="440">
        <f>K7</f>
        <v>25347.676453287906</v>
      </c>
      <c r="M7" s="360">
        <f>'Heating Brush Q4'!$AE$113</f>
        <v>13950</v>
      </c>
      <c r="N7" s="348">
        <f>SUMIFS('SEM_Q1''21_Beauty'!$W$10:$W$68,'SEM_Q1''21_Beauty'!$B$10:$B$68,"Heating Brush",'SEM_Q1''21_Beauty'!$G$10:$G$68,"Search")</f>
        <v>24392.107588850617</v>
      </c>
      <c r="O7" s="457"/>
      <c r="P7" s="194"/>
      <c r="R7" s="382" t="s">
        <v>26</v>
      </c>
      <c r="S7" s="354">
        <v>3410</v>
      </c>
      <c r="T7" s="440">
        <v>13056</v>
      </c>
      <c r="U7" s="440">
        <v>10348</v>
      </c>
      <c r="V7" s="360">
        <v>15203</v>
      </c>
      <c r="W7" s="440">
        <f>'Straightener Q4'!AE3</f>
        <v>13691.217107921182</v>
      </c>
      <c r="X7" s="440">
        <f>W7</f>
        <v>13691.217107921182</v>
      </c>
      <c r="Y7" s="360">
        <f>'Straightener Q4'!$AE$113</f>
        <v>13068</v>
      </c>
      <c r="Z7" s="348">
        <f>SUMIFS('SEM_Q1''21_Beauty'!$W$10:$W$68,'SEM_Q1''21_Beauty'!$B$10:$B$68,"Straightener",'SEM_Q1''21_Beauty'!$G$10:$G$68,"Search")</f>
        <v>17403.639570349573</v>
      </c>
      <c r="AA7" s="408"/>
      <c r="AE7" s="382" t="s">
        <v>26</v>
      </c>
      <c r="AF7" s="354">
        <v>6060</v>
      </c>
      <c r="AG7" s="440">
        <v>31146</v>
      </c>
      <c r="AH7" s="440">
        <v>19807</v>
      </c>
      <c r="AI7" s="360">
        <v>21112</v>
      </c>
      <c r="AJ7" s="440">
        <f>'Hair Dryer Q4'!AE3</f>
        <v>20989.631067004677</v>
      </c>
      <c r="AK7" s="440">
        <f>AJ7</f>
        <v>20989.631067004677</v>
      </c>
      <c r="AL7" s="360">
        <f>'Hair Dryer Q4'!$AE$113</f>
        <v>26265</v>
      </c>
      <c r="AM7" s="348">
        <f>SUMIFS('SEM_Q1''21_Beauty'!$W$10:$W$68,'SEM_Q1''21_Beauty'!$B$10:$B$68,"Hair Dryer",'SEM_Q1''21_Beauty'!$G$10:$G$68,"Search")</f>
        <v>28874.801356088894</v>
      </c>
      <c r="AN7" s="401"/>
      <c r="AP7" s="194"/>
      <c r="AQ7" s="194"/>
      <c r="AR7" s="382" t="s">
        <v>26</v>
      </c>
      <c r="AS7" s="354"/>
      <c r="AT7" s="440">
        <v>16887</v>
      </c>
      <c r="AU7" s="440"/>
      <c r="AV7" s="440"/>
      <c r="AW7" s="440"/>
      <c r="AX7" s="360"/>
      <c r="AY7" s="348">
        <f>SUMIFS('SEM_Q1''21_Beauty'!$W$10:$W$68,'SEM_Q1''21_Beauty'!$B$10:$B$68,"Autocurler",'SEM_Q1''21_Beauty'!$G$10:$G$68,"Search")</f>
        <v>53726.071723897323</v>
      </c>
      <c r="AZ7" s="401"/>
      <c r="BD7" s="382" t="s">
        <v>26</v>
      </c>
      <c r="BE7" s="354">
        <v>24266</v>
      </c>
      <c r="BF7" s="440"/>
      <c r="BG7" s="440"/>
      <c r="BH7" s="360">
        <v>25382</v>
      </c>
      <c r="BI7" s="440">
        <f>'Femdep Q4'!AE3</f>
        <v>24859.724394686575</v>
      </c>
      <c r="BJ7" s="440">
        <f>BI7</f>
        <v>24859.724394686575</v>
      </c>
      <c r="BK7" s="360">
        <f>'Femdep Q4'!$AE$113</f>
        <v>18994</v>
      </c>
      <c r="BL7" s="348">
        <f>SUMIFS('SEM_Q1''21_Beauty'!$W$10:$W$68,'SEM_Q1''21_Beauty'!$B$10:$B$68,"Epilation",'SEM_Q1''21_Beauty'!$G$10:$G$68,"Search")</f>
        <v>20269.529233942249</v>
      </c>
      <c r="BP7" s="382" t="s">
        <v>26</v>
      </c>
      <c r="BQ7" s="354">
        <f t="shared" si="0"/>
        <v>58625</v>
      </c>
      <c r="BR7" s="440">
        <f t="shared" si="0"/>
        <v>82763</v>
      </c>
      <c r="BS7" s="440">
        <f t="shared" si="0"/>
        <v>44283</v>
      </c>
      <c r="BT7" s="440">
        <f t="shared" si="0"/>
        <v>73754</v>
      </c>
      <c r="BU7" s="440">
        <f t="shared" si="0"/>
        <v>84888.249022900345</v>
      </c>
      <c r="BV7" s="440">
        <f t="shared" si="0"/>
        <v>84888.249022900345</v>
      </c>
      <c r="BW7" s="360">
        <f>M7+Y7+AL7+AX7+BK7</f>
        <v>72277</v>
      </c>
      <c r="BX7" s="348">
        <f>N7+Z7+AM7+AY7+BL7</f>
        <v>144666.14947312867</v>
      </c>
    </row>
    <row r="8" spans="1:76">
      <c r="A8" s="40"/>
      <c r="B8" s="40"/>
      <c r="C8" s="40"/>
      <c r="D8" s="40"/>
      <c r="F8" s="382" t="s">
        <v>48</v>
      </c>
      <c r="G8" s="355">
        <f t="shared" ref="G8:N8" si="1">G6/G7</f>
        <v>20.330355110021838</v>
      </c>
      <c r="H8" s="441">
        <f t="shared" si="1"/>
        <v>26.377921472732304</v>
      </c>
      <c r="I8" s="441">
        <f t="shared" si="1"/>
        <v>37.280984569648922</v>
      </c>
      <c r="J8" s="673">
        <f t="shared" si="1"/>
        <v>22.664527660280342</v>
      </c>
      <c r="K8" s="441">
        <f t="shared" si="1"/>
        <v>23.012004855206605</v>
      </c>
      <c r="L8" s="441">
        <f t="shared" ref="L8" si="2">L6/L7</f>
        <v>23.012004855206605</v>
      </c>
      <c r="M8" s="361">
        <f t="shared" si="1"/>
        <v>23.566063799283153</v>
      </c>
      <c r="N8" s="349">
        <f t="shared" si="1"/>
        <v>24.278397624944386</v>
      </c>
      <c r="O8" s="457"/>
      <c r="P8" s="194"/>
      <c r="R8" s="382" t="s">
        <v>48</v>
      </c>
      <c r="S8" s="355">
        <f t="shared" ref="S8:Z8" si="3">S6/S7</f>
        <v>27.994879765395897</v>
      </c>
      <c r="T8" s="441">
        <f t="shared" si="3"/>
        <v>30.829335937500002</v>
      </c>
      <c r="U8" s="441">
        <f t="shared" si="3"/>
        <v>41.003695400077312</v>
      </c>
      <c r="V8" s="673">
        <f t="shared" si="3"/>
        <v>38.147944484641194</v>
      </c>
      <c r="W8" s="441">
        <f t="shared" si="3"/>
        <v>37.634208208454979</v>
      </c>
      <c r="X8" s="441">
        <f t="shared" si="3"/>
        <v>37.634208208454979</v>
      </c>
      <c r="Y8" s="361">
        <f t="shared" si="3"/>
        <v>38.915355831037651</v>
      </c>
      <c r="Z8" s="349">
        <f t="shared" si="3"/>
        <v>42.149940754985806</v>
      </c>
      <c r="AA8" s="409"/>
      <c r="AE8" s="382" t="s">
        <v>48</v>
      </c>
      <c r="AF8" s="355">
        <f t="shared" ref="AF8:AM8" si="4">AF6/AF7</f>
        <v>25.339125412541254</v>
      </c>
      <c r="AG8" s="441">
        <f t="shared" si="4"/>
        <v>28.719324632376551</v>
      </c>
      <c r="AH8" s="441">
        <f t="shared" si="4"/>
        <v>35.683707275205741</v>
      </c>
      <c r="AI8" s="673">
        <f t="shared" si="4"/>
        <v>30.362867089806748</v>
      </c>
      <c r="AJ8" s="441">
        <f t="shared" si="4"/>
        <v>38.504411883976957</v>
      </c>
      <c r="AK8" s="441">
        <f t="shared" si="4"/>
        <v>38.504411883976957</v>
      </c>
      <c r="AL8" s="361">
        <f t="shared" si="4"/>
        <v>32.849430801446793</v>
      </c>
      <c r="AM8" s="349">
        <f t="shared" si="4"/>
        <v>37.738814033007749</v>
      </c>
      <c r="AN8" s="400"/>
      <c r="AR8" s="382" t="s">
        <v>48</v>
      </c>
      <c r="AS8" s="355" t="e">
        <f t="shared" ref="AS8:AY8" si="5">AS6/AS7</f>
        <v>#DIV/0!</v>
      </c>
      <c r="AT8" s="441">
        <f t="shared" si="5"/>
        <v>9.9846035411855265</v>
      </c>
      <c r="AU8" s="441" t="e">
        <f t="shared" si="5"/>
        <v>#DIV/0!</v>
      </c>
      <c r="AV8" s="441" t="e">
        <f t="shared" si="5"/>
        <v>#DIV/0!</v>
      </c>
      <c r="AW8" s="441" t="e">
        <f t="shared" si="5"/>
        <v>#DIV/0!</v>
      </c>
      <c r="AX8" s="361" t="e">
        <f t="shared" si="5"/>
        <v>#DIV/0!</v>
      </c>
      <c r="AY8" s="349">
        <f t="shared" si="5"/>
        <v>11.43791149817215</v>
      </c>
      <c r="AZ8" s="400"/>
      <c r="BD8" s="382" t="s">
        <v>48</v>
      </c>
      <c r="BE8" s="355">
        <f t="shared" ref="BE8:BL8" si="6">BE6/BE7</f>
        <v>17.65504945190802</v>
      </c>
      <c r="BF8" s="441" t="e">
        <f t="shared" si="6"/>
        <v>#DIV/0!</v>
      </c>
      <c r="BG8" s="441" t="e">
        <f t="shared" si="6"/>
        <v>#DIV/0!</v>
      </c>
      <c r="BH8" s="673">
        <f t="shared" si="6"/>
        <v>24.138967772437162</v>
      </c>
      <c r="BI8" s="441">
        <f t="shared" si="6"/>
        <v>22.930464488114197</v>
      </c>
      <c r="BJ8" s="441">
        <f t="shared" si="6"/>
        <v>22.930464488114197</v>
      </c>
      <c r="BK8" s="361">
        <f t="shared" si="6"/>
        <v>26.393080446456775</v>
      </c>
      <c r="BL8" s="349">
        <f t="shared" si="6"/>
        <v>25.45982817529385</v>
      </c>
      <c r="BP8" s="382" t="s">
        <v>48</v>
      </c>
      <c r="BQ8" s="355">
        <f t="shared" ref="BQ8:BX8" si="7">BQ6/BQ7</f>
        <v>20.186563383084582</v>
      </c>
      <c r="BR8" s="441">
        <f t="shared" si="7"/>
        <v>24.616374043956839</v>
      </c>
      <c r="BS8" s="441">
        <f t="shared" si="7"/>
        <v>37.436469525551573</v>
      </c>
      <c r="BT8" s="441">
        <f t="shared" si="7"/>
        <v>28.567203677088699</v>
      </c>
      <c r="BU8" s="441">
        <f t="shared" si="7"/>
        <v>29.177152605929006</v>
      </c>
      <c r="BV8" s="441">
        <f t="shared" si="7"/>
        <v>29.177152605929006</v>
      </c>
      <c r="BW8" s="361">
        <f t="shared" si="7"/>
        <v>30.45772417228164</v>
      </c>
      <c r="BX8" s="349">
        <f t="shared" si="7"/>
        <v>24.511865562943576</v>
      </c>
    </row>
    <row r="9" spans="1:76">
      <c r="A9" s="40"/>
      <c r="B9" s="40"/>
      <c r="C9" s="40"/>
      <c r="D9" s="40"/>
      <c r="F9" s="383" t="s">
        <v>103</v>
      </c>
      <c r="G9" s="356">
        <f t="shared" ref="G9:N9" si="8">(G7-G10)/G7</f>
        <v>8.1562135883321944E-3</v>
      </c>
      <c r="H9" s="442">
        <f t="shared" si="8"/>
        <v>8.1664667343360701E-3</v>
      </c>
      <c r="I9" s="442">
        <f t="shared" si="8"/>
        <v>5.4643261608154019E-2</v>
      </c>
      <c r="J9" s="362">
        <f t="shared" si="8"/>
        <v>4.14696856597827E-2</v>
      </c>
      <c r="K9" s="442">
        <f t="shared" si="8"/>
        <v>1.4603494211196163E-2</v>
      </c>
      <c r="L9" s="442">
        <f t="shared" ref="L9" si="9">(L7-L10)/L7</f>
        <v>1.4603494211196163E-2</v>
      </c>
      <c r="M9" s="362">
        <f t="shared" si="8"/>
        <v>6.3440860215053768E-2</v>
      </c>
      <c r="N9" s="350">
        <f t="shared" si="8"/>
        <v>2.5684513853333774E-2</v>
      </c>
      <c r="O9" s="457"/>
      <c r="P9" s="194"/>
      <c r="R9" s="383" t="s">
        <v>103</v>
      </c>
      <c r="S9" s="356">
        <f t="shared" ref="S9:Z9" si="10">(S7-S10)/S7</f>
        <v>1.935483870967742E-2</v>
      </c>
      <c r="T9" s="442">
        <f t="shared" si="10"/>
        <v>-3.6994485294117647E-2</v>
      </c>
      <c r="U9" s="442">
        <f t="shared" si="10"/>
        <v>3.12137611132586E-2</v>
      </c>
      <c r="V9" s="362">
        <f t="shared" si="10"/>
        <v>7.4327435374597116E-3</v>
      </c>
      <c r="W9" s="442">
        <f t="shared" si="10"/>
        <v>-7.8866162375947277E-3</v>
      </c>
      <c r="X9" s="442">
        <f t="shared" si="10"/>
        <v>-7.8866162375947277E-3</v>
      </c>
      <c r="Y9" s="362">
        <f t="shared" si="10"/>
        <v>5.2035506580961129E-2</v>
      </c>
      <c r="Z9" s="350">
        <f t="shared" si="10"/>
        <v>-2.0380782815351876E-2</v>
      </c>
      <c r="AA9" s="410"/>
      <c r="AE9" s="383" t="s">
        <v>103</v>
      </c>
      <c r="AF9" s="356">
        <f t="shared" ref="AF9:AM9" si="11">(AF7-AF10)/AF7</f>
        <v>1.3366336633663366E-2</v>
      </c>
      <c r="AG9" s="442">
        <f t="shared" si="11"/>
        <v>-2.4786489436845822E-2</v>
      </c>
      <c r="AH9" s="442">
        <f t="shared" si="11"/>
        <v>1.2066441157166659E-2</v>
      </c>
      <c r="AI9" s="362">
        <f t="shared" si="11"/>
        <v>-6.1671087533156498E-2</v>
      </c>
      <c r="AJ9" s="442">
        <f t="shared" si="11"/>
        <v>-5.7779736546455185E-2</v>
      </c>
      <c r="AK9" s="442">
        <f t="shared" si="11"/>
        <v>-5.7779736546455185E-2</v>
      </c>
      <c r="AL9" s="362">
        <f t="shared" si="11"/>
        <v>6.2173995811917002E-2</v>
      </c>
      <c r="AM9" s="350">
        <f t="shared" si="11"/>
        <v>-2.9221152906627711E-2</v>
      </c>
      <c r="AN9" s="397"/>
      <c r="AR9" s="383" t="s">
        <v>103</v>
      </c>
      <c r="AS9" s="356" t="e">
        <f t="shared" ref="AS9:AY9" si="12">(AS7-AS10)/AS7</f>
        <v>#DIV/0!</v>
      </c>
      <c r="AT9" s="442">
        <f t="shared" si="12"/>
        <v>9.5339610351157691E-2</v>
      </c>
      <c r="AU9" s="442" t="e">
        <f t="shared" si="12"/>
        <v>#DIV/0!</v>
      </c>
      <c r="AV9" s="442" t="e">
        <f t="shared" si="12"/>
        <v>#DIV/0!</v>
      </c>
      <c r="AW9" s="442" t="e">
        <f t="shared" si="12"/>
        <v>#DIV/0!</v>
      </c>
      <c r="AX9" s="365" t="e">
        <f t="shared" si="12"/>
        <v>#DIV/0!</v>
      </c>
      <c r="AY9" s="350">
        <f t="shared" si="12"/>
        <v>0.10084254691003398</v>
      </c>
      <c r="AZ9" s="397"/>
      <c r="BD9" s="383" t="s">
        <v>103</v>
      </c>
      <c r="BE9" s="356">
        <f t="shared" ref="BE9:BL9" si="13">(BE7-BE10)/BE7</f>
        <v>-1.8420835737245529E-2</v>
      </c>
      <c r="BF9" s="442" t="e">
        <f t="shared" si="13"/>
        <v>#DIV/0!</v>
      </c>
      <c r="BG9" s="442" t="e">
        <f t="shared" si="13"/>
        <v>#DIV/0!</v>
      </c>
      <c r="BH9" s="362">
        <f t="shared" si="13"/>
        <v>7.3319675360491693E-2</v>
      </c>
      <c r="BI9" s="442">
        <f t="shared" si="13"/>
        <v>6.550317409013634E-2</v>
      </c>
      <c r="BJ9" s="442">
        <f t="shared" si="13"/>
        <v>6.550317409013634E-2</v>
      </c>
      <c r="BK9" s="362">
        <f t="shared" si="13"/>
        <v>0.15041592081710015</v>
      </c>
      <c r="BL9" s="350">
        <f t="shared" si="13"/>
        <v>8.2199040257903283E-2</v>
      </c>
      <c r="BP9" s="383" t="s">
        <v>103</v>
      </c>
      <c r="BQ9" s="356">
        <f t="shared" ref="BQ9:BX9" si="14">(BQ7-BQ10)/BQ7</f>
        <v>-1.6545842217484009E-3</v>
      </c>
      <c r="BR9" s="442">
        <f t="shared" si="14"/>
        <v>6.4279931853606078E-3</v>
      </c>
      <c r="BS9" s="442">
        <f t="shared" si="14"/>
        <v>3.0124426981008513E-2</v>
      </c>
      <c r="BT9" s="442">
        <f t="shared" si="14"/>
        <v>1.5890663557230796E-2</v>
      </c>
      <c r="BU9" s="442">
        <f t="shared" si="14"/>
        <v>7.9846478234389777E-3</v>
      </c>
      <c r="BV9" s="442">
        <f t="shared" si="14"/>
        <v>7.9846478234389777E-3</v>
      </c>
      <c r="BW9" s="365">
        <f t="shared" si="14"/>
        <v>8.3774921482629328E-2</v>
      </c>
      <c r="BX9" s="350">
        <f t="shared" si="14"/>
        <v>4.5014361844553201E-2</v>
      </c>
    </row>
    <row r="10" spans="1:76">
      <c r="A10" s="40"/>
      <c r="B10" s="40"/>
      <c r="C10" s="40"/>
      <c r="D10" s="40"/>
      <c r="F10" s="382" t="s">
        <v>28</v>
      </c>
      <c r="G10" s="354">
        <v>24686</v>
      </c>
      <c r="H10" s="440">
        <v>21497</v>
      </c>
      <c r="I10" s="440">
        <v>13356</v>
      </c>
      <c r="J10" s="360">
        <v>11557</v>
      </c>
      <c r="K10" s="440">
        <f>'Heating Brush Q4'!AG3</f>
        <v>24977.511806935043</v>
      </c>
      <c r="L10" s="440">
        <f>K10</f>
        <v>24977.511806935043</v>
      </c>
      <c r="M10" s="360">
        <f>'Heating Brush Q4'!$AG$113</f>
        <v>13065</v>
      </c>
      <c r="N10" s="348">
        <f>SUMIFS('SEM_Q1''21_Beauty'!$Y$10:$Y$68,'SEM_Q1''21_Beauty'!$B$10:$B$68,"Heating Brush",'SEM_Q1''21_Beauty'!$G$10:$G$68,"Search")</f>
        <v>23765.608163572775</v>
      </c>
      <c r="O10" s="457"/>
      <c r="P10" s="194"/>
      <c r="R10" s="382" t="s">
        <v>28</v>
      </c>
      <c r="S10" s="354">
        <v>3344</v>
      </c>
      <c r="T10" s="440">
        <v>13539</v>
      </c>
      <c r="U10" s="440">
        <v>10025</v>
      </c>
      <c r="V10" s="360">
        <v>15090</v>
      </c>
      <c r="W10" s="440">
        <f>'Straightener Q4'!AG3</f>
        <v>13799.194483076948</v>
      </c>
      <c r="X10" s="440">
        <f>W10</f>
        <v>13799.194483076948</v>
      </c>
      <c r="Y10" s="360">
        <f>'Straightener Q4'!$AG$113</f>
        <v>12388</v>
      </c>
      <c r="Z10" s="348">
        <f>SUMIFS('SEM_Q1''21_Beauty'!$Y$10:$Y$68,'SEM_Q1''21_Beauty'!$B$10:$B$68,"Straightener",'SEM_Q1''21_Beauty'!$G$10:$G$68,"Search")</f>
        <v>17758.339368629531</v>
      </c>
      <c r="AA10" s="408"/>
      <c r="AE10" s="382" t="s">
        <v>28</v>
      </c>
      <c r="AF10" s="354">
        <v>5979</v>
      </c>
      <c r="AG10" s="440">
        <v>31918</v>
      </c>
      <c r="AH10" s="440">
        <v>19568</v>
      </c>
      <c r="AI10" s="360">
        <v>22414</v>
      </c>
      <c r="AJ10" s="440">
        <f>'Hair Dryer Q4'!AG3</f>
        <v>22202.406420263498</v>
      </c>
      <c r="AK10" s="440">
        <f>AJ10</f>
        <v>22202.406420263498</v>
      </c>
      <c r="AL10" s="360">
        <f>'Hair Dryer Q4'!$AG$113</f>
        <v>24632</v>
      </c>
      <c r="AM10" s="348">
        <f>SUMIFS('SEM_Q1''21_Beauty'!$Y$10:$Y$68,'SEM_Q1''21_Beauty'!$B$10:$B$68,"Hair Dryer",'SEM_Q1''21_Beauty'!$G$10:$G$68,"Search")</f>
        <v>29718.556341663669</v>
      </c>
      <c r="AN10" s="401"/>
      <c r="AP10" s="194"/>
      <c r="AQ10" s="194"/>
      <c r="AR10" s="382" t="s">
        <v>28</v>
      </c>
      <c r="AS10" s="354"/>
      <c r="AT10" s="440">
        <v>15277</v>
      </c>
      <c r="AU10" s="440"/>
      <c r="AV10" s="440"/>
      <c r="AW10" s="440"/>
      <c r="AX10" s="360"/>
      <c r="AY10" s="348">
        <f>SUMIFS('SEM_Q1''21_Beauty'!$Y$10:$Y$68,'SEM_Q1''21_Beauty'!$B$10:$B$68,"Autocurler",'SEM_Q1''21_Beauty'!$G$10:$G$68,"Search")</f>
        <v>48308.197815788357</v>
      </c>
      <c r="AZ10" s="401"/>
      <c r="BD10" s="382" t="s">
        <v>28</v>
      </c>
      <c r="BE10" s="354">
        <v>24713</v>
      </c>
      <c r="BF10" s="440"/>
      <c r="BG10" s="440"/>
      <c r="BH10" s="360">
        <v>23521</v>
      </c>
      <c r="BI10" s="440">
        <f>'Femdep Q4'!AG3</f>
        <v>23231.333539828611</v>
      </c>
      <c r="BJ10" s="440">
        <f>BI10</f>
        <v>23231.333539828611</v>
      </c>
      <c r="BK10" s="360">
        <f>'Femdep Q4'!$AG$113</f>
        <v>16137</v>
      </c>
      <c r="BL10" s="348">
        <f>SUMIFS('SEM_Q1''21_Beauty'!$Y$10:$Y$68,'SEM_Q1''21_Beauty'!$B$10:$B$68,"Epilation",'SEM_Q1''21_Beauty'!$G$10:$G$68,"Search")</f>
        <v>18603.393384432682</v>
      </c>
      <c r="BP10" s="382" t="s">
        <v>28</v>
      </c>
      <c r="BQ10" s="354">
        <f t="shared" ref="BQ10:BV10" si="15">G10+S10+AF10+AS10+BE10</f>
        <v>58722</v>
      </c>
      <c r="BR10" s="440">
        <f t="shared" si="15"/>
        <v>82231</v>
      </c>
      <c r="BS10" s="440">
        <f t="shared" si="15"/>
        <v>42949</v>
      </c>
      <c r="BT10" s="440">
        <f t="shared" si="15"/>
        <v>72582</v>
      </c>
      <c r="BU10" s="440">
        <f t="shared" si="15"/>
        <v>84210.446250104098</v>
      </c>
      <c r="BV10" s="440">
        <f t="shared" si="15"/>
        <v>84210.446250104098</v>
      </c>
      <c r="BW10" s="360">
        <f>M10+Y10+AL10+AX10+BK10</f>
        <v>66222</v>
      </c>
      <c r="BX10" s="348">
        <f>N10+Z10+AM10+AY10+BL10</f>
        <v>138154.09507408703</v>
      </c>
    </row>
    <row r="11" spans="1:76">
      <c r="A11" s="40"/>
      <c r="B11" s="40"/>
      <c r="C11" s="40"/>
      <c r="D11" s="40"/>
      <c r="F11" s="382" t="s">
        <v>104</v>
      </c>
      <c r="G11" s="357">
        <f t="shared" ref="G11:N11" si="16">1-G12/G10</f>
        <v>0.31959927119650344</v>
      </c>
      <c r="H11" s="443">
        <f t="shared" si="16"/>
        <v>0.3593776676384739</v>
      </c>
      <c r="I11" s="443">
        <f t="shared" si="16"/>
        <v>0.33984725965858043</v>
      </c>
      <c r="J11" s="363">
        <f t="shared" si="16"/>
        <v>0.30942286060396296</v>
      </c>
      <c r="K11" s="443">
        <f t="shared" si="16"/>
        <v>0.19317546796346463</v>
      </c>
      <c r="L11" s="443">
        <f t="shared" ref="L11" si="17">1-L12/L10</f>
        <v>0.19317546796346463</v>
      </c>
      <c r="M11" s="363">
        <f t="shared" si="16"/>
        <v>0.20933792575583621</v>
      </c>
      <c r="N11" s="351">
        <f t="shared" si="16"/>
        <v>0.23070553050976872</v>
      </c>
      <c r="O11" s="457"/>
      <c r="P11" s="194"/>
      <c r="R11" s="382" t="s">
        <v>104</v>
      </c>
      <c r="S11" s="357">
        <f t="shared" ref="S11:Z11" si="18">1-S12/S10</f>
        <v>0.25121934808612445</v>
      </c>
      <c r="T11" s="443">
        <f t="shared" si="18"/>
        <v>0.29057665354703399</v>
      </c>
      <c r="U11" s="443">
        <f t="shared" si="18"/>
        <v>0.26992518703241897</v>
      </c>
      <c r="V11" s="363">
        <f t="shared" si="18"/>
        <v>0.27607687210072895</v>
      </c>
      <c r="W11" s="443">
        <f t="shared" si="18"/>
        <v>0.19135584300944297</v>
      </c>
      <c r="X11" s="443">
        <f t="shared" si="18"/>
        <v>0.19135584300944297</v>
      </c>
      <c r="Y11" s="363">
        <f t="shared" si="18"/>
        <v>0.187197287697772</v>
      </c>
      <c r="Z11" s="351">
        <f t="shared" si="18"/>
        <v>0.18554229207354411</v>
      </c>
      <c r="AA11" s="411"/>
      <c r="AE11" s="382" t="s">
        <v>104</v>
      </c>
      <c r="AF11" s="357">
        <f t="shared" ref="AF11:AM11" si="19">1-AF12/AF10</f>
        <v>0.30170244187991302</v>
      </c>
      <c r="AG11" s="443">
        <f t="shared" si="19"/>
        <v>0.31519455057948742</v>
      </c>
      <c r="AH11" s="443">
        <f t="shared" si="19"/>
        <v>0.28710139002452983</v>
      </c>
      <c r="AI11" s="363">
        <f t="shared" si="19"/>
        <v>0.30775408227000978</v>
      </c>
      <c r="AJ11" s="443">
        <f t="shared" si="19"/>
        <v>0.20026253738860511</v>
      </c>
      <c r="AK11" s="443">
        <f t="shared" si="19"/>
        <v>0.20026253738860511</v>
      </c>
      <c r="AL11" s="363">
        <f t="shared" si="19"/>
        <v>0.1923920103929847</v>
      </c>
      <c r="AM11" s="351">
        <f t="shared" si="19"/>
        <v>0.19037482183959553</v>
      </c>
      <c r="AN11" s="402"/>
      <c r="AR11" s="382" t="s">
        <v>104</v>
      </c>
      <c r="AS11" s="357" t="e">
        <f t="shared" ref="AS11:AY11" si="20">1-AS12/AS10</f>
        <v>#DIV/0!</v>
      </c>
      <c r="AT11" s="443">
        <f t="shared" si="20"/>
        <v>0.68626039143810957</v>
      </c>
      <c r="AU11" s="443" t="e">
        <f t="shared" si="20"/>
        <v>#DIV/0!</v>
      </c>
      <c r="AV11" s="443" t="e">
        <f t="shared" si="20"/>
        <v>#DIV/0!</v>
      </c>
      <c r="AW11" s="443" t="e">
        <f t="shared" si="20"/>
        <v>#DIV/0!</v>
      </c>
      <c r="AX11" s="363" t="e">
        <f t="shared" si="20"/>
        <v>#DIV/0!</v>
      </c>
      <c r="AY11" s="351">
        <f t="shared" si="20"/>
        <v>0.39406332861109972</v>
      </c>
      <c r="AZ11" s="402"/>
      <c r="BD11" s="382" t="s">
        <v>104</v>
      </c>
      <c r="BE11" s="357">
        <f t="shared" ref="BE11:BL11" si="21">1-BE12/BE10</f>
        <v>0.57342346066224437</v>
      </c>
      <c r="BF11" s="443" t="e">
        <f t="shared" si="21"/>
        <v>#DIV/0!</v>
      </c>
      <c r="BG11" s="443" t="e">
        <f t="shared" si="21"/>
        <v>#DIV/0!</v>
      </c>
      <c r="BH11" s="363">
        <f t="shared" si="21"/>
        <v>0.54512988393350625</v>
      </c>
      <c r="BI11" s="443">
        <f t="shared" si="21"/>
        <v>0.35869432973891779</v>
      </c>
      <c r="BJ11" s="443">
        <f t="shared" si="21"/>
        <v>0.35869432973891779</v>
      </c>
      <c r="BK11" s="363">
        <f t="shared" si="21"/>
        <v>0.40695296523517377</v>
      </c>
      <c r="BL11" s="351">
        <f t="shared" si="21"/>
        <v>0.39503264985379893</v>
      </c>
      <c r="BP11" s="382" t="s">
        <v>104</v>
      </c>
      <c r="BQ11" s="357">
        <f t="shared" ref="BQ11:BX11" si="22">1-BQ12/BQ10</f>
        <v>0.42070430149012172</v>
      </c>
      <c r="BR11" s="443">
        <f t="shared" si="22"/>
        <v>0.39162893189908488</v>
      </c>
      <c r="BS11" s="443">
        <f t="shared" si="22"/>
        <v>0.29949474958671918</v>
      </c>
      <c r="BT11" s="443">
        <f t="shared" si="22"/>
        <v>0.37835827064561467</v>
      </c>
      <c r="BU11" s="443">
        <f t="shared" si="22"/>
        <v>0.24040790407126178</v>
      </c>
      <c r="BV11" s="443">
        <f t="shared" si="22"/>
        <v>0.24040790407126178</v>
      </c>
      <c r="BW11" s="363">
        <f t="shared" si="22"/>
        <v>0.24704780888526467</v>
      </c>
      <c r="BX11" s="351">
        <f t="shared" si="22"/>
        <v>0.29547355864870517</v>
      </c>
    </row>
    <row r="12" spans="1:76">
      <c r="A12" s="40"/>
      <c r="B12" s="40"/>
      <c r="C12" s="40"/>
      <c r="D12" s="40"/>
      <c r="F12" s="382" t="s">
        <v>105</v>
      </c>
      <c r="G12" s="354">
        <v>16796.372391243116</v>
      </c>
      <c r="H12" s="440">
        <v>13771.458278775726</v>
      </c>
      <c r="I12" s="440">
        <v>8817</v>
      </c>
      <c r="J12" s="360">
        <v>7981</v>
      </c>
      <c r="K12" s="440">
        <f>'Heating Brush Q4'!AI3</f>
        <v>20152.469275067404</v>
      </c>
      <c r="L12" s="440">
        <f>K12</f>
        <v>20152.469275067404</v>
      </c>
      <c r="M12" s="360">
        <f>'Heating Brush Q4'!$AI$113</f>
        <v>10330</v>
      </c>
      <c r="N12" s="348">
        <f>SUMIFS('SEM_Q1''21_Beauty'!$AB$10:$AB$68,'SEM_Q1''21_Beauty'!$B$10:$B$68,"Heating Brush",'SEM_Q1''21_Beauty'!$G$10:$G$68,"Search")</f>
        <v>18282.750924308428</v>
      </c>
      <c r="O12" s="457"/>
      <c r="P12" s="194"/>
      <c r="R12" s="382" t="s">
        <v>105</v>
      </c>
      <c r="S12" s="354">
        <v>2503.9224999999997</v>
      </c>
      <c r="T12" s="440">
        <v>9604.8826876267067</v>
      </c>
      <c r="U12" s="440">
        <v>7319</v>
      </c>
      <c r="V12" s="360">
        <v>10924</v>
      </c>
      <c r="W12" s="440">
        <f>'Straightener Q4'!AI3</f>
        <v>11158.637989916504</v>
      </c>
      <c r="X12" s="440">
        <f>W12</f>
        <v>11158.637989916504</v>
      </c>
      <c r="Y12" s="360">
        <f>'Straightener Q4'!$AI$113</f>
        <v>10069</v>
      </c>
      <c r="Z12" s="348">
        <f>SUMIFS('SEM_Q1''21_Beauty'!$AB$10:$AB$68,'SEM_Q1''21_Beauty'!$B$10:$B$68,"Straightener",'SEM_Q1''21_Beauty'!$G$10:$G$68,"Search")</f>
        <v>14463.416378754153</v>
      </c>
      <c r="AA12" s="408"/>
      <c r="AE12" s="382" t="s">
        <v>105</v>
      </c>
      <c r="AF12" s="354">
        <v>4175.1211000000003</v>
      </c>
      <c r="AG12" s="440">
        <v>21857.620334603922</v>
      </c>
      <c r="AH12" s="440">
        <v>13950</v>
      </c>
      <c r="AI12" s="360">
        <v>15516</v>
      </c>
      <c r="AJ12" s="440">
        <f>'Hair Dryer Q4'!AI3</f>
        <v>17756.096174408474</v>
      </c>
      <c r="AK12" s="440">
        <f>AJ12</f>
        <v>17756.096174408474</v>
      </c>
      <c r="AL12" s="360">
        <f>'Hair Dryer Q4'!$AI$113</f>
        <v>19893</v>
      </c>
      <c r="AM12" s="348">
        <f>SUMIFS('SEM_Q1''21_Beauty'!$AB$10:$AB$68,'SEM_Q1''21_Beauty'!$B$10:$B$68,"Hair Dryer",'SEM_Q1''21_Beauty'!$G$10:$G$68,"Search")</f>
        <v>24060.891472789466</v>
      </c>
      <c r="AN12" s="401"/>
      <c r="AP12" s="194"/>
      <c r="AQ12" s="194"/>
      <c r="AR12" s="382" t="s">
        <v>105</v>
      </c>
      <c r="AS12" s="354"/>
      <c r="AT12" s="440">
        <v>4793</v>
      </c>
      <c r="AU12" s="440"/>
      <c r="AV12" s="440"/>
      <c r="AW12" s="440"/>
      <c r="AX12" s="360"/>
      <c r="AY12" s="348">
        <f>SUMIFS('SEM_Q1''21_Beauty'!$AB$10:$AB$68,'SEM_Q1''21_Beauty'!$B$10:$B$68,"Autocurler",'SEM_Q1''21_Beauty'!$G$10:$G$68,"Search")</f>
        <v>29271.708585295339</v>
      </c>
      <c r="AZ12" s="401"/>
      <c r="BD12" s="382" t="s">
        <v>105</v>
      </c>
      <c r="BE12" s="354">
        <v>10541.986016653955</v>
      </c>
      <c r="BF12" s="440"/>
      <c r="BG12" s="440"/>
      <c r="BH12" s="360">
        <v>10699</v>
      </c>
      <c r="BI12" s="440">
        <f>'Femdep Q4'!AI3</f>
        <v>14898.385926818548</v>
      </c>
      <c r="BJ12" s="440">
        <f>BI12</f>
        <v>14898.385926818548</v>
      </c>
      <c r="BK12" s="360">
        <f>'Femdep Q4'!$AI$113</f>
        <v>9570</v>
      </c>
      <c r="BL12" s="348">
        <f>SUMIFS('SEM_Q1''21_Beauty'!$AB$10:$AB$68,'SEM_Q1''21_Beauty'!$B$10:$B$68,"Epilation",'SEM_Q1''21_Beauty'!$G$10:$G$68,"Search")</f>
        <v>11254.445599507606</v>
      </c>
      <c r="BP12" s="382" t="s">
        <v>105</v>
      </c>
      <c r="BQ12" s="354">
        <f t="shared" ref="BQ12:BV12" si="23">G12+S12+AF12+AS12+BE12</f>
        <v>34017.402007897072</v>
      </c>
      <c r="BR12" s="440">
        <f t="shared" si="23"/>
        <v>50026.961301006355</v>
      </c>
      <c r="BS12" s="440">
        <f t="shared" si="23"/>
        <v>30086</v>
      </c>
      <c r="BT12" s="440">
        <f t="shared" si="23"/>
        <v>45120</v>
      </c>
      <c r="BU12" s="440">
        <f t="shared" si="23"/>
        <v>63965.58936621093</v>
      </c>
      <c r="BV12" s="440">
        <f t="shared" si="23"/>
        <v>63965.58936621093</v>
      </c>
      <c r="BW12" s="360">
        <f>M12+Y12+AL12+AX12+BK12</f>
        <v>49862</v>
      </c>
      <c r="BX12" s="348">
        <f>N12+Z12+AM12+AY12+BL12</f>
        <v>97333.212960654986</v>
      </c>
    </row>
    <row r="13" spans="1:76">
      <c r="A13" s="40"/>
      <c r="B13" s="40"/>
      <c r="C13" s="40"/>
      <c r="D13" s="40"/>
      <c r="F13" s="382" t="s">
        <v>32</v>
      </c>
      <c r="G13" s="355">
        <f t="shared" ref="G13:N13" si="24">G6/G12</f>
        <v>30.125684079089638</v>
      </c>
      <c r="H13" s="441">
        <f t="shared" si="24"/>
        <v>41.514490217867113</v>
      </c>
      <c r="I13" s="441">
        <f t="shared" si="24"/>
        <v>59.737524101168198</v>
      </c>
      <c r="J13" s="673">
        <f t="shared" si="24"/>
        <v>34.239595288810939</v>
      </c>
      <c r="K13" s="441">
        <f t="shared" si="24"/>
        <v>28.94438620149274</v>
      </c>
      <c r="L13" s="441">
        <f t="shared" ref="L13" si="25">L6/L12</f>
        <v>28.94438620149274</v>
      </c>
      <c r="M13" s="361">
        <f t="shared" si="24"/>
        <v>31.824452081316551</v>
      </c>
      <c r="N13" s="349">
        <f t="shared" si="24"/>
        <v>32.391257169355093</v>
      </c>
      <c r="O13" s="457"/>
      <c r="P13" s="194"/>
      <c r="R13" s="382" t="s">
        <v>32</v>
      </c>
      <c r="S13" s="355">
        <f t="shared" ref="S13:Z13" si="26">S6/S12</f>
        <v>38.125197565020493</v>
      </c>
      <c r="T13" s="441">
        <f t="shared" si="26"/>
        <v>41.906582629949497</v>
      </c>
      <c r="U13" s="441">
        <f t="shared" si="26"/>
        <v>57.973253176663476</v>
      </c>
      <c r="V13" s="673">
        <f t="shared" si="26"/>
        <v>53.090735994141347</v>
      </c>
      <c r="W13" s="441">
        <f t="shared" si="26"/>
        <v>46.175717478448469</v>
      </c>
      <c r="X13" s="441">
        <f t="shared" si="26"/>
        <v>46.175717478448469</v>
      </c>
      <c r="Y13" s="361">
        <f t="shared" si="26"/>
        <v>50.506094944880324</v>
      </c>
      <c r="Z13" s="349">
        <f t="shared" si="26"/>
        <v>50.718471874246674</v>
      </c>
      <c r="AA13" s="409"/>
      <c r="AE13" s="382" t="s">
        <v>32</v>
      </c>
      <c r="AF13" s="355">
        <f t="shared" ref="AF13:AM13" si="27">AF6/AF12</f>
        <v>36.778597871089296</v>
      </c>
      <c r="AG13" s="441">
        <f t="shared" si="27"/>
        <v>40.923580486201587</v>
      </c>
      <c r="AH13" s="441">
        <f t="shared" si="27"/>
        <v>50.665748387096777</v>
      </c>
      <c r="AI13" s="673">
        <f t="shared" si="27"/>
        <v>41.31353763856665</v>
      </c>
      <c r="AJ13" s="441">
        <f t="shared" si="27"/>
        <v>45.516390087000133</v>
      </c>
      <c r="AK13" s="441">
        <f t="shared" si="27"/>
        <v>45.516390087000133</v>
      </c>
      <c r="AL13" s="361">
        <f t="shared" si="27"/>
        <v>43.371552807520239</v>
      </c>
      <c r="AM13" s="349">
        <f t="shared" si="27"/>
        <v>45.289292786587914</v>
      </c>
      <c r="AN13" s="400"/>
      <c r="AR13" s="382" t="s">
        <v>32</v>
      </c>
      <c r="AS13" s="355" t="e">
        <f t="shared" ref="AS13:AY13" si="28">AS6/AS12</f>
        <v>#DIV/0!</v>
      </c>
      <c r="AT13" s="441">
        <f t="shared" si="28"/>
        <v>35.178385145003126</v>
      </c>
      <c r="AU13" s="441" t="e">
        <f t="shared" si="28"/>
        <v>#DIV/0!</v>
      </c>
      <c r="AV13" s="441" t="e">
        <f t="shared" si="28"/>
        <v>#DIV/0!</v>
      </c>
      <c r="AW13" s="441" t="e">
        <f t="shared" si="28"/>
        <v>#DIV/0!</v>
      </c>
      <c r="AX13" s="361" t="e">
        <f t="shared" si="28"/>
        <v>#DIV/0!</v>
      </c>
      <c r="AY13" s="349">
        <f t="shared" si="28"/>
        <v>20.99344668356969</v>
      </c>
      <c r="AZ13" s="400"/>
      <c r="BD13" s="382" t="s">
        <v>32</v>
      </c>
      <c r="BE13" s="355">
        <f t="shared" ref="BE13:BL13" si="29">BE6/BE12</f>
        <v>40.639157491121438</v>
      </c>
      <c r="BF13" s="441" t="e">
        <f t="shared" si="29"/>
        <v>#DIV/0!</v>
      </c>
      <c r="BG13" s="441" t="e">
        <f t="shared" si="29"/>
        <v>#DIV/0!</v>
      </c>
      <c r="BH13" s="673">
        <f t="shared" si="29"/>
        <v>57.266593139545755</v>
      </c>
      <c r="BI13" s="441">
        <f t="shared" si="29"/>
        <v>38.26220036296214</v>
      </c>
      <c r="BJ13" s="441">
        <f t="shared" si="29"/>
        <v>38.26220036296214</v>
      </c>
      <c r="BK13" s="361">
        <f t="shared" si="29"/>
        <v>52.383507836990596</v>
      </c>
      <c r="BL13" s="349">
        <f t="shared" si="29"/>
        <v>45.853767467039276</v>
      </c>
      <c r="BP13" s="382" t="s">
        <v>32</v>
      </c>
      <c r="BQ13" s="355">
        <f t="shared" ref="BQ13:BX13" si="30">BQ6/BQ12</f>
        <v>34.789172849196447</v>
      </c>
      <c r="BR13" s="441">
        <f t="shared" si="30"/>
        <v>40.724539568606907</v>
      </c>
      <c r="BS13" s="441">
        <f t="shared" si="30"/>
        <v>55.102013561124778</v>
      </c>
      <c r="BT13" s="441">
        <f t="shared" si="30"/>
        <v>46.696488031914896</v>
      </c>
      <c r="BU13" s="441">
        <f t="shared" si="30"/>
        <v>38.720778167325172</v>
      </c>
      <c r="BV13" s="441">
        <f t="shared" si="30"/>
        <v>38.720778167325172</v>
      </c>
      <c r="BW13" s="361">
        <f t="shared" si="30"/>
        <v>44.149711804580647</v>
      </c>
      <c r="BX13" s="349">
        <f t="shared" si="30"/>
        <v>36.431934172638947</v>
      </c>
    </row>
    <row r="14" spans="1:76">
      <c r="A14" s="40"/>
      <c r="B14" s="40"/>
      <c r="C14" s="40"/>
      <c r="D14" s="40"/>
      <c r="F14" s="383" t="s">
        <v>106</v>
      </c>
      <c r="G14" s="356">
        <f t="shared" ref="G14:N14" si="31">G15/G10</f>
        <v>0.21076723649031839</v>
      </c>
      <c r="H14" s="442">
        <f t="shared" si="31"/>
        <v>0.18165325394241058</v>
      </c>
      <c r="I14" s="442">
        <f t="shared" si="31"/>
        <v>0.20747229709493861</v>
      </c>
      <c r="J14" s="362">
        <f t="shared" si="31"/>
        <v>0.29575149260188632</v>
      </c>
      <c r="K14" s="442">
        <f t="shared" si="31"/>
        <v>0.31029904459300972</v>
      </c>
      <c r="L14" s="442">
        <f t="shared" ref="L14" si="32">L15/L10</f>
        <v>0.31029904459300972</v>
      </c>
      <c r="M14" s="362">
        <f t="shared" si="31"/>
        <v>0.30417145044010718</v>
      </c>
      <c r="N14" s="184">
        <f t="shared" si="31"/>
        <v>0.2811416292645178</v>
      </c>
      <c r="O14" s="457"/>
      <c r="P14" s="194"/>
      <c r="R14" s="383" t="s">
        <v>106</v>
      </c>
      <c r="S14" s="356">
        <f t="shared" ref="S14:Z14" si="33">S15/S10</f>
        <v>0.26226076555023925</v>
      </c>
      <c r="T14" s="442">
        <f t="shared" si="33"/>
        <v>0.24964916168106951</v>
      </c>
      <c r="U14" s="442">
        <f t="shared" si="33"/>
        <v>0.31032418952618451</v>
      </c>
      <c r="V14" s="362">
        <f t="shared" si="33"/>
        <v>0.30192180251822398</v>
      </c>
      <c r="W14" s="442">
        <f t="shared" si="33"/>
        <v>0.31479458766473628</v>
      </c>
      <c r="X14" s="442">
        <f t="shared" si="33"/>
        <v>0.31479458766473628</v>
      </c>
      <c r="Y14" s="362">
        <f t="shared" si="33"/>
        <v>0.33322570229254117</v>
      </c>
      <c r="Z14" s="184">
        <f t="shared" si="33"/>
        <v>0.33568194614399505</v>
      </c>
      <c r="AA14" s="410"/>
      <c r="AE14" s="383" t="s">
        <v>106</v>
      </c>
      <c r="AF14" s="356">
        <f t="shared" ref="AF14:AM14" si="34">AF15/AF10</f>
        <v>0.24000669008195349</v>
      </c>
      <c r="AG14" s="442">
        <f t="shared" si="34"/>
        <v>0.23416254151262611</v>
      </c>
      <c r="AH14" s="442">
        <f t="shared" si="34"/>
        <v>0.23998364677023712</v>
      </c>
      <c r="AI14" s="362">
        <f t="shared" si="34"/>
        <v>0.28517890604086732</v>
      </c>
      <c r="AJ14" s="442">
        <f t="shared" si="34"/>
        <v>0.32656595662269727</v>
      </c>
      <c r="AK14" s="442">
        <f t="shared" si="34"/>
        <v>0.32656595662269727</v>
      </c>
      <c r="AL14" s="362">
        <f t="shared" si="34"/>
        <v>0.33626989282234493</v>
      </c>
      <c r="AM14" s="184">
        <f t="shared" si="34"/>
        <v>0.33766522429176771</v>
      </c>
      <c r="AN14" s="397"/>
      <c r="AR14" s="383" t="s">
        <v>106</v>
      </c>
      <c r="AS14" s="356" t="e">
        <f t="shared" ref="AS14:AY14" si="35">AS15/AS10</f>
        <v>#DIV/0!</v>
      </c>
      <c r="AT14" s="442">
        <f t="shared" si="35"/>
        <v>0.15428421810564902</v>
      </c>
      <c r="AU14" s="442" t="e">
        <f t="shared" si="35"/>
        <v>#DIV/0!</v>
      </c>
      <c r="AV14" s="442" t="e">
        <f t="shared" si="35"/>
        <v>#DIV/0!</v>
      </c>
      <c r="AW14" s="442" t="e">
        <f t="shared" si="35"/>
        <v>#DIV/0!</v>
      </c>
      <c r="AX14" s="362" t="e">
        <f t="shared" si="35"/>
        <v>#DIV/0!</v>
      </c>
      <c r="AY14" s="184">
        <f t="shared" si="35"/>
        <v>0.14632565248653484</v>
      </c>
      <c r="AZ14" s="397"/>
      <c r="BD14" s="383" t="s">
        <v>106</v>
      </c>
      <c r="BE14" s="356">
        <f t="shared" ref="BE14:BL14" si="36">BE15/BE10</f>
        <v>0.19491765467567676</v>
      </c>
      <c r="BF14" s="442" t="e">
        <f t="shared" si="36"/>
        <v>#DIV/0!</v>
      </c>
      <c r="BG14" s="442" t="e">
        <f t="shared" si="36"/>
        <v>#DIV/0!</v>
      </c>
      <c r="BH14" s="362">
        <f t="shared" si="36"/>
        <v>0.21393648229241954</v>
      </c>
      <c r="BI14" s="442">
        <f t="shared" si="36"/>
        <v>0.21786318182931652</v>
      </c>
      <c r="BJ14" s="442">
        <f t="shared" si="36"/>
        <v>0.21786318182931652</v>
      </c>
      <c r="BK14" s="362">
        <f t="shared" si="36"/>
        <v>0.23982152816508645</v>
      </c>
      <c r="BL14" s="184">
        <f t="shared" si="36"/>
        <v>0.20995464958476528</v>
      </c>
      <c r="BP14" s="383" t="s">
        <v>106</v>
      </c>
      <c r="BQ14" s="356">
        <f t="shared" ref="BQ14:BX14" si="37">BQ15/BQ10</f>
        <v>0.2100064711692381</v>
      </c>
      <c r="BR14" s="442">
        <f t="shared" si="37"/>
        <v>0.20814534664542569</v>
      </c>
      <c r="BS14" s="442">
        <f t="shared" si="37"/>
        <v>0.24629211390253555</v>
      </c>
      <c r="BT14" s="442">
        <f t="shared" si="37"/>
        <v>0.2672563445482351</v>
      </c>
      <c r="BU14" s="442">
        <f t="shared" si="37"/>
        <v>0.28982404451351007</v>
      </c>
      <c r="BV14" s="442">
        <f t="shared" si="37"/>
        <v>0.28982404451351007</v>
      </c>
      <c r="BW14" s="362">
        <f t="shared" si="37"/>
        <v>0.30586512035275287</v>
      </c>
      <c r="BX14" s="184">
        <f t="shared" si="37"/>
        <v>0.24358435556155575</v>
      </c>
    </row>
    <row r="15" spans="1:76">
      <c r="A15" s="40"/>
      <c r="B15" s="40"/>
      <c r="C15" s="40"/>
      <c r="D15" s="40"/>
      <c r="F15" s="382" t="s">
        <v>107</v>
      </c>
      <c r="G15" s="354">
        <v>5203</v>
      </c>
      <c r="H15" s="440">
        <v>3905</v>
      </c>
      <c r="I15" s="440">
        <v>2771</v>
      </c>
      <c r="J15" s="360">
        <v>3418</v>
      </c>
      <c r="K15" s="440">
        <f>'Heating Brush Q4'!AL3</f>
        <v>7750.498050002564</v>
      </c>
      <c r="L15" s="440">
        <f>K15</f>
        <v>7750.498050002564</v>
      </c>
      <c r="M15" s="360">
        <f>'Heating Brush Q4'!$AL$113</f>
        <v>3974</v>
      </c>
      <c r="N15" s="348">
        <f>SUMIFS('SEM_Q1''21_Beauty'!$AD$10:$AD$68,'SEM_Q1''21_Beauty'!$B$10:$B$68,"Heating Brush",'SEM_Q1''21_Beauty'!$G$10:$G$68,"Search")</f>
        <v>6681.501799568975</v>
      </c>
      <c r="O15" s="457"/>
      <c r="P15" s="194"/>
      <c r="R15" s="382" t="s">
        <v>107</v>
      </c>
      <c r="S15" s="354">
        <v>877</v>
      </c>
      <c r="T15" s="440">
        <v>3380</v>
      </c>
      <c r="U15" s="440">
        <v>3111</v>
      </c>
      <c r="V15" s="360">
        <v>4556</v>
      </c>
      <c r="W15" s="440">
        <f>'Straightener Q4'!AL3</f>
        <v>4343.9117374057114</v>
      </c>
      <c r="X15" s="440">
        <f>W15</f>
        <v>4343.9117374057114</v>
      </c>
      <c r="Y15" s="360">
        <f>'Straightener Q4'!$AL$113</f>
        <v>4128</v>
      </c>
      <c r="Z15" s="348">
        <f>SUMIFS('SEM_Q1''21_Beauty'!$AD$10:$AD$68,'SEM_Q1''21_Beauty'!$B$10:$B$68,"Straightener",'SEM_Q1''21_Beauty'!$G$10:$G$68,"Search")</f>
        <v>5961.153919547085</v>
      </c>
      <c r="AA15" s="408"/>
      <c r="AE15" s="382" t="s">
        <v>107</v>
      </c>
      <c r="AF15" s="354">
        <v>1435</v>
      </c>
      <c r="AG15" s="440">
        <v>7474</v>
      </c>
      <c r="AH15" s="440">
        <v>4696</v>
      </c>
      <c r="AI15" s="360">
        <v>6392</v>
      </c>
      <c r="AJ15" s="440">
        <f>'Hair Dryer Q4'!AL3</f>
        <v>7250.550091959265</v>
      </c>
      <c r="AK15" s="440">
        <f>AJ15</f>
        <v>7250.550091959265</v>
      </c>
      <c r="AL15" s="360">
        <f>'Hair Dryer Q4'!$AL$113</f>
        <v>8283</v>
      </c>
      <c r="AM15" s="348">
        <f>SUMIFS('SEM_Q1''21_Beauty'!$AD$10:$AD$68,'SEM_Q1''21_Beauty'!$B$10:$B$68,"Hair Dryer",'SEM_Q1''21_Beauty'!$G$10:$G$68,"Search")</f>
        <v>10034.922992735399</v>
      </c>
      <c r="AN15" s="401"/>
      <c r="AP15" s="194"/>
      <c r="AQ15" s="194"/>
      <c r="AR15" s="382" t="s">
        <v>107</v>
      </c>
      <c r="AS15" s="354"/>
      <c r="AT15" s="440">
        <v>2357</v>
      </c>
      <c r="AU15" s="440"/>
      <c r="AV15" s="440"/>
      <c r="AW15" s="440"/>
      <c r="AX15" s="360"/>
      <c r="AY15" s="348">
        <f>SUMIFS('SEM_Q1''21_Beauty'!$AD$10:$AD$68,'SEM_Q1''21_Beauty'!$B$10:$B$68,"Autocurler",'SEM_Q1''21_Beauty'!$G$10:$G$68,"Search")</f>
        <v>7068.7285658438286</v>
      </c>
      <c r="AZ15" s="401"/>
      <c r="BD15" s="382" t="s">
        <v>107</v>
      </c>
      <c r="BE15" s="354">
        <v>4817</v>
      </c>
      <c r="BF15" s="440"/>
      <c r="BG15" s="440"/>
      <c r="BH15" s="360">
        <v>5032</v>
      </c>
      <c r="BI15" s="440">
        <f>'Femdep Q4'!AL3</f>
        <v>5061.25224312518</v>
      </c>
      <c r="BJ15" s="440">
        <f>BI15</f>
        <v>5061.25224312518</v>
      </c>
      <c r="BK15" s="360">
        <f>'Femdep Q4'!$AL$113</f>
        <v>3870</v>
      </c>
      <c r="BL15" s="348">
        <f>SUMIFS('SEM_Q1''21_Beauty'!$AD$10:$AD$68,'SEM_Q1''21_Beauty'!$B$10:$B$68,"Epilation",'SEM_Q1''21_Beauty'!$G$10:$G$68,"Search")</f>
        <v>3905.8689391161042</v>
      </c>
      <c r="BP15" s="382" t="s">
        <v>107</v>
      </c>
      <c r="BQ15" s="354">
        <f t="shared" ref="BQ15:BV15" si="38">G15+S15+AF15+AS15+BE15</f>
        <v>12332</v>
      </c>
      <c r="BR15" s="440">
        <f t="shared" si="38"/>
        <v>17116</v>
      </c>
      <c r="BS15" s="440">
        <f t="shared" si="38"/>
        <v>10578</v>
      </c>
      <c r="BT15" s="440">
        <f t="shared" si="38"/>
        <v>19398</v>
      </c>
      <c r="BU15" s="440">
        <f t="shared" si="38"/>
        <v>24406.212122492718</v>
      </c>
      <c r="BV15" s="440">
        <f t="shared" si="38"/>
        <v>24406.212122492718</v>
      </c>
      <c r="BW15" s="360">
        <f>M15+Y15+AL15+AX15+BK15</f>
        <v>20255</v>
      </c>
      <c r="BX15" s="348">
        <f>N15+Z15+AM15+AY15+BL15</f>
        <v>33652.176216811393</v>
      </c>
    </row>
    <row r="16" spans="1:76" ht="15" thickBot="1">
      <c r="F16" s="382" t="s">
        <v>34</v>
      </c>
      <c r="G16" s="355">
        <f t="shared" ref="G16:N16" si="39">G6/G15</f>
        <v>97.252010058299732</v>
      </c>
      <c r="H16" s="441">
        <f t="shared" si="39"/>
        <v>146.40590781049934</v>
      </c>
      <c r="I16" s="441">
        <f t="shared" si="39"/>
        <v>190.07785997834716</v>
      </c>
      <c r="J16" s="673">
        <f t="shared" si="39"/>
        <v>79.949154476301956</v>
      </c>
      <c r="K16" s="441">
        <f t="shared" si="39"/>
        <v>75.259789738425184</v>
      </c>
      <c r="L16" s="441">
        <f t="shared" ref="L16" si="40">L6/L15</f>
        <v>75.259789738425184</v>
      </c>
      <c r="M16" s="361">
        <f t="shared" si="39"/>
        <v>82.724355812783088</v>
      </c>
      <c r="N16" s="349">
        <f t="shared" si="39"/>
        <v>88.632960779976415</v>
      </c>
      <c r="O16" s="457"/>
      <c r="P16" s="194"/>
      <c r="R16" s="382" t="s">
        <v>34</v>
      </c>
      <c r="S16" s="355">
        <f t="shared" ref="S16:Z16" si="41">S6/S15</f>
        <v>108.85124287343217</v>
      </c>
      <c r="T16" s="441">
        <f t="shared" si="41"/>
        <v>119.08515088757396</v>
      </c>
      <c r="U16" s="441">
        <f t="shared" si="41"/>
        <v>136.38901960784312</v>
      </c>
      <c r="V16" s="673">
        <f t="shared" si="41"/>
        <v>127.29657594381038</v>
      </c>
      <c r="W16" s="441">
        <f t="shared" si="41"/>
        <v>118.61615668424957</v>
      </c>
      <c r="X16" s="441">
        <f t="shared" si="41"/>
        <v>118.61615668424957</v>
      </c>
      <c r="Y16" s="361">
        <f t="shared" si="41"/>
        <v>123.19425145348838</v>
      </c>
      <c r="Z16" s="349">
        <f t="shared" si="41"/>
        <v>123.05711053793685</v>
      </c>
      <c r="AA16" s="409"/>
      <c r="AE16" s="382" t="s">
        <v>34</v>
      </c>
      <c r="AF16" s="355">
        <f t="shared" ref="AF16:AM16" si="42">AF6/AF15</f>
        <v>107.00703832752613</v>
      </c>
      <c r="AG16" s="441">
        <f t="shared" si="42"/>
        <v>119.68050374632058</v>
      </c>
      <c r="AH16" s="441">
        <f t="shared" si="42"/>
        <v>150.50834540034072</v>
      </c>
      <c r="AI16" s="673">
        <f t="shared" si="42"/>
        <v>100.28486389236546</v>
      </c>
      <c r="AJ16" s="441">
        <f t="shared" si="42"/>
        <v>111.46649421716835</v>
      </c>
      <c r="AK16" s="441">
        <f t="shared" si="42"/>
        <v>111.46649421716835</v>
      </c>
      <c r="AL16" s="361">
        <f t="shared" si="42"/>
        <v>104.16398647832911</v>
      </c>
      <c r="AM16" s="349">
        <f t="shared" si="42"/>
        <v>108.59084413565982</v>
      </c>
      <c r="AN16" s="400"/>
      <c r="AR16" s="382" t="s">
        <v>34</v>
      </c>
      <c r="AS16" s="355" t="e">
        <f t="shared" ref="AS16:AY16" si="43">AS6/AS15</f>
        <v>#DIV/0!</v>
      </c>
      <c r="AT16" s="441">
        <f t="shared" si="43"/>
        <v>71.535850657615612</v>
      </c>
      <c r="AU16" s="441" t="e">
        <f t="shared" si="43"/>
        <v>#DIV/0!</v>
      </c>
      <c r="AV16" s="441" t="e">
        <f t="shared" si="43"/>
        <v>#DIV/0!</v>
      </c>
      <c r="AW16" s="441" t="e">
        <f t="shared" si="43"/>
        <v>#DIV/0!</v>
      </c>
      <c r="AX16" s="361" t="e">
        <f t="shared" si="43"/>
        <v>#DIV/0!</v>
      </c>
      <c r="AY16" s="349">
        <f t="shared" si="43"/>
        <v>86.934170381322218</v>
      </c>
      <c r="AZ16" s="400"/>
      <c r="BD16" s="382" t="s">
        <v>34</v>
      </c>
      <c r="BE16" s="355">
        <f t="shared" ref="BE16:BL16" si="44">BE6/BE15</f>
        <v>88.938640232509854</v>
      </c>
      <c r="BF16" s="441" t="e">
        <f t="shared" si="44"/>
        <v>#DIV/0!</v>
      </c>
      <c r="BG16" s="441" t="e">
        <f t="shared" si="44"/>
        <v>#DIV/0!</v>
      </c>
      <c r="BH16" s="673">
        <f t="shared" si="44"/>
        <v>121.75979332273451</v>
      </c>
      <c r="BI16" s="441">
        <f t="shared" si="44"/>
        <v>112.62924668316474</v>
      </c>
      <c r="BJ16" s="441">
        <f t="shared" si="44"/>
        <v>112.62924668316474</v>
      </c>
      <c r="BK16" s="361">
        <f t="shared" si="44"/>
        <v>129.53751162790698</v>
      </c>
      <c r="BL16" s="349">
        <f t="shared" si="44"/>
        <v>132.12392415989487</v>
      </c>
      <c r="BP16" s="384" t="s">
        <v>34</v>
      </c>
      <c r="BQ16" s="371">
        <f t="shared" ref="BQ16:BX16" si="45">BQ6/BQ15</f>
        <v>95.964748486322861</v>
      </c>
      <c r="BR16" s="444">
        <f t="shared" si="45"/>
        <v>119.03043731011918</v>
      </c>
      <c r="BS16" s="696">
        <f t="shared" si="45"/>
        <v>156.72141992815278</v>
      </c>
      <c r="BT16" s="696">
        <f t="shared" si="45"/>
        <v>108.61663779771111</v>
      </c>
      <c r="BU16" s="444">
        <f t="shared" si="45"/>
        <v>101.48225311492133</v>
      </c>
      <c r="BV16" s="444">
        <f t="shared" si="45"/>
        <v>101.48225311492133</v>
      </c>
      <c r="BW16" s="367">
        <f t="shared" si="45"/>
        <v>108.68392643791657</v>
      </c>
      <c r="BX16" s="366">
        <f t="shared" si="45"/>
        <v>105.37319145567056</v>
      </c>
    </row>
    <row r="17" spans="1:76" ht="15" thickBot="1">
      <c r="F17" s="384" t="s">
        <v>36</v>
      </c>
      <c r="G17" s="358">
        <v>0.4642</v>
      </c>
      <c r="H17" s="448">
        <v>0.84570000000000001</v>
      </c>
      <c r="I17" s="448">
        <v>0.83030000000000004</v>
      </c>
      <c r="J17" s="364">
        <v>0.87939999999999996</v>
      </c>
      <c r="K17" s="448">
        <v>0.8</v>
      </c>
      <c r="L17" s="448">
        <v>0.8</v>
      </c>
      <c r="M17" s="364">
        <v>0.77190000000000003</v>
      </c>
      <c r="N17" s="352">
        <f>'SEM_Q1''21_Beauty'!AG20</f>
        <v>0.80168414695961676</v>
      </c>
      <c r="O17" s="457"/>
      <c r="P17" s="194"/>
      <c r="R17" s="384" t="s">
        <v>36</v>
      </c>
      <c r="S17" s="358">
        <v>0.53349999999999997</v>
      </c>
      <c r="T17" s="448">
        <v>0.71909999999999996</v>
      </c>
      <c r="U17" s="448">
        <v>0.4864</v>
      </c>
      <c r="V17" s="364">
        <v>0.7873</v>
      </c>
      <c r="W17" s="448">
        <v>0.8</v>
      </c>
      <c r="X17" s="448">
        <v>0.8</v>
      </c>
      <c r="Y17" s="364">
        <v>0.72819999999999996</v>
      </c>
      <c r="Z17" s="352">
        <f>'SEM_Q1''21_Beauty'!AG32</f>
        <v>0.80011328638721446</v>
      </c>
      <c r="AA17" s="411"/>
      <c r="AE17" s="384" t="s">
        <v>36</v>
      </c>
      <c r="AF17" s="358">
        <v>0.45419999999999999</v>
      </c>
      <c r="AG17" s="448">
        <v>0.83630000000000004</v>
      </c>
      <c r="AH17" s="448">
        <v>0.74229999999999996</v>
      </c>
      <c r="AI17" s="364">
        <v>0.84599999999999997</v>
      </c>
      <c r="AJ17" s="448">
        <v>0.8</v>
      </c>
      <c r="AK17" s="448">
        <v>0.8</v>
      </c>
      <c r="AL17" s="364">
        <v>0.76400000000000001</v>
      </c>
      <c r="AM17" s="352">
        <f>'SEM_Q1''21_Beauty'!AG44</f>
        <v>0.80064347276489667</v>
      </c>
      <c r="AN17" s="402"/>
      <c r="AR17" s="384" t="s">
        <v>36</v>
      </c>
      <c r="AS17" s="358"/>
      <c r="AT17" s="448">
        <v>0.4899</v>
      </c>
      <c r="AU17" s="448"/>
      <c r="AV17" s="448"/>
      <c r="AW17" s="448"/>
      <c r="AX17" s="364"/>
      <c r="AY17" s="352">
        <f>'SEM_Q1''21_Beauty'!AG56</f>
        <v>0.79999022279724408</v>
      </c>
      <c r="AZ17" s="402"/>
      <c r="BD17" s="384" t="s">
        <v>36</v>
      </c>
      <c r="BE17" s="358">
        <v>0.74639999999999995</v>
      </c>
      <c r="BF17" s="448"/>
      <c r="BG17" s="448"/>
      <c r="BH17" s="364">
        <v>0.79259999999999997</v>
      </c>
      <c r="BI17" s="364">
        <v>0.8</v>
      </c>
      <c r="BJ17" s="448">
        <v>0.8</v>
      </c>
      <c r="BK17" s="364">
        <v>0.75019999999999998</v>
      </c>
      <c r="BL17" s="352">
        <f>'SEM_Q1''21_Beauty'!AG68</f>
        <v>0.79791698286318913</v>
      </c>
    </row>
    <row r="18" spans="1:76">
      <c r="H18" s="36"/>
      <c r="I18" s="36"/>
      <c r="J18" s="36"/>
      <c r="K18" s="36"/>
      <c r="L18" s="36"/>
      <c r="N18" s="36"/>
      <c r="O18" s="458"/>
      <c r="P18" s="194"/>
      <c r="R18"/>
      <c r="Z18" s="36"/>
      <c r="AB18"/>
      <c r="AC18"/>
      <c r="AD18"/>
      <c r="AE18"/>
      <c r="AM18" s="36"/>
      <c r="AO18" s="455"/>
      <c r="AR18"/>
      <c r="AT18" s="195"/>
      <c r="AU18" s="195"/>
      <c r="AV18" s="195"/>
      <c r="AW18" s="195"/>
      <c r="AX18" s="195"/>
      <c r="AY18" s="36"/>
      <c r="AZ18" s="195"/>
      <c r="BF18" s="185"/>
      <c r="BG18" s="185"/>
      <c r="BH18" s="185"/>
      <c r="BI18" s="185"/>
      <c r="BJ18" s="185"/>
      <c r="BL18" s="36"/>
      <c r="BM18" s="462"/>
      <c r="BN18"/>
      <c r="BO18"/>
      <c r="BX18" s="36"/>
    </row>
    <row r="19" spans="1:76">
      <c r="H19" s="20"/>
      <c r="I19" s="20"/>
      <c r="J19" s="20"/>
      <c r="K19" s="20"/>
      <c r="L19" s="20"/>
      <c r="N19" s="20"/>
      <c r="O19" s="458"/>
      <c r="P19"/>
      <c r="R19"/>
      <c r="Z19" s="20"/>
      <c r="AB19"/>
      <c r="AC19"/>
      <c r="AD19"/>
      <c r="AE19"/>
      <c r="AM19" s="20"/>
      <c r="AN19" s="414"/>
      <c r="AO19" s="455"/>
      <c r="AR19"/>
      <c r="AT19" s="195"/>
      <c r="AU19" s="195"/>
      <c r="AV19" s="195"/>
      <c r="AW19" s="195"/>
      <c r="AX19" s="195"/>
      <c r="AY19" s="20"/>
      <c r="AZ19" s="414"/>
      <c r="BF19" s="183"/>
      <c r="BG19" s="183"/>
      <c r="BH19" s="183"/>
      <c r="BI19" s="183"/>
      <c r="BJ19" s="183"/>
      <c r="BK19" s="183"/>
      <c r="BL19" s="20"/>
      <c r="BM19" s="462"/>
      <c r="BN19"/>
      <c r="BO19"/>
      <c r="BX19" s="20"/>
    </row>
    <row r="20" spans="1:76" ht="18.600000000000001" thickBot="1">
      <c r="B20" s="192" t="s">
        <v>57</v>
      </c>
      <c r="N20" s="36"/>
      <c r="O20" s="455"/>
      <c r="P20" s="194"/>
      <c r="R20"/>
      <c r="Z20" s="36"/>
      <c r="AB20"/>
      <c r="AC20"/>
      <c r="AD20"/>
      <c r="AE20"/>
      <c r="AM20" s="36"/>
      <c r="AN20" s="36"/>
      <c r="AO20" s="455"/>
      <c r="AR20"/>
      <c r="AT20" s="195"/>
      <c r="AU20" s="195"/>
      <c r="AV20" s="195"/>
      <c r="AW20" s="195"/>
      <c r="AX20" s="195"/>
      <c r="AY20" s="36"/>
      <c r="AZ20" s="36"/>
      <c r="BL20" s="36"/>
      <c r="BM20" s="462"/>
      <c r="BN20"/>
      <c r="BO20"/>
    </row>
    <row r="21" spans="1:76" ht="16.2" customHeight="1" thickBot="1">
      <c r="A21" s="38"/>
      <c r="B21" s="39"/>
      <c r="C21" s="39"/>
      <c r="D21" s="39"/>
      <c r="E21" s="39"/>
      <c r="F21" s="40"/>
      <c r="G21" s="754" t="s">
        <v>108</v>
      </c>
      <c r="H21" s="755"/>
      <c r="I21" s="755"/>
      <c r="J21" s="757"/>
      <c r="K21" s="755"/>
      <c r="L21" s="755"/>
      <c r="M21" s="755"/>
      <c r="N21" s="756"/>
      <c r="O21" s="457"/>
      <c r="P21" s="194"/>
      <c r="R21" s="40"/>
      <c r="S21" s="754" t="s">
        <v>109</v>
      </c>
      <c r="T21" s="755"/>
      <c r="U21" s="755"/>
      <c r="V21" s="757"/>
      <c r="W21" s="755"/>
      <c r="X21" s="755"/>
      <c r="Y21" s="755"/>
      <c r="Z21" s="756"/>
      <c r="AA21" s="404"/>
      <c r="AE21" s="40"/>
      <c r="AF21" s="754" t="s">
        <v>110</v>
      </c>
      <c r="AG21" s="755"/>
      <c r="AH21" s="755"/>
      <c r="AI21" s="755"/>
      <c r="AJ21" s="755"/>
      <c r="AK21" s="755"/>
      <c r="AL21" s="755"/>
      <c r="AM21" s="756"/>
      <c r="AN21" s="398"/>
      <c r="AR21" s="40"/>
      <c r="AS21" s="754" t="s">
        <v>111</v>
      </c>
      <c r="AT21" s="755"/>
      <c r="AU21" s="755"/>
      <c r="AV21" s="755"/>
      <c r="AW21" s="755"/>
      <c r="AX21" s="755"/>
      <c r="AY21" s="756"/>
      <c r="AZ21" s="398"/>
      <c r="BD21" s="40"/>
      <c r="BE21" s="754" t="s">
        <v>112</v>
      </c>
      <c r="BF21" s="755"/>
      <c r="BG21" s="755"/>
      <c r="BH21" s="755"/>
      <c r="BI21" s="755"/>
      <c r="BJ21" s="755"/>
      <c r="BK21" s="755"/>
      <c r="BL21" s="756"/>
      <c r="BP21" s="40"/>
      <c r="BQ21" s="751" t="s">
        <v>113</v>
      </c>
      <c r="BR21" s="752"/>
      <c r="BS21" s="752"/>
      <c r="BT21" s="752"/>
      <c r="BU21" s="752"/>
      <c r="BV21" s="752"/>
      <c r="BW21" s="752"/>
      <c r="BX21" s="753"/>
    </row>
    <row r="22" spans="1:76" ht="15" thickBot="1">
      <c r="A22" s="40"/>
      <c r="B22" s="40"/>
      <c r="C22" s="40"/>
      <c r="D22" s="40"/>
      <c r="E22" s="40"/>
      <c r="F22" s="40"/>
      <c r="G22" s="69" t="s">
        <v>99</v>
      </c>
      <c r="H22" s="438" t="s">
        <v>100</v>
      </c>
      <c r="I22" s="690" t="s">
        <v>565</v>
      </c>
      <c r="J22" s="70" t="s">
        <v>566</v>
      </c>
      <c r="K22" s="701" t="s">
        <v>569</v>
      </c>
      <c r="L22" s="700" t="s">
        <v>570</v>
      </c>
      <c r="M22" s="70" t="s">
        <v>101</v>
      </c>
      <c r="N22" s="71" t="s">
        <v>102</v>
      </c>
      <c r="O22" s="457"/>
      <c r="P22" s="194"/>
      <c r="R22" s="40"/>
      <c r="S22" s="69" t="s">
        <v>99</v>
      </c>
      <c r="T22" s="438" t="s">
        <v>100</v>
      </c>
      <c r="U22" s="690" t="s">
        <v>565</v>
      </c>
      <c r="V22" s="688" t="s">
        <v>566</v>
      </c>
      <c r="W22" s="701" t="s">
        <v>567</v>
      </c>
      <c r="X22" s="700" t="s">
        <v>570</v>
      </c>
      <c r="Y22" s="70" t="s">
        <v>101</v>
      </c>
      <c r="Z22" s="71" t="s">
        <v>102</v>
      </c>
      <c r="AA22" s="406"/>
      <c r="AE22" s="40"/>
      <c r="AF22" s="69" t="s">
        <v>99</v>
      </c>
      <c r="AG22" s="438" t="s">
        <v>100</v>
      </c>
      <c r="AH22" s="687" t="s">
        <v>565</v>
      </c>
      <c r="AI22" s="687" t="s">
        <v>566</v>
      </c>
      <c r="AJ22" s="700" t="s">
        <v>569</v>
      </c>
      <c r="AK22" s="700" t="s">
        <v>570</v>
      </c>
      <c r="AL22" s="70" t="s">
        <v>101</v>
      </c>
      <c r="AM22" s="71" t="s">
        <v>102</v>
      </c>
      <c r="AN22" s="399"/>
      <c r="AR22" s="40"/>
      <c r="AS22" s="69" t="s">
        <v>99</v>
      </c>
      <c r="AT22" s="438" t="s">
        <v>100</v>
      </c>
      <c r="AU22" s="687" t="s">
        <v>565</v>
      </c>
      <c r="AV22" s="687" t="s">
        <v>566</v>
      </c>
      <c r="AW22" s="699" t="s">
        <v>567</v>
      </c>
      <c r="AX22" s="70" t="s">
        <v>101</v>
      </c>
      <c r="AY22" s="71" t="s">
        <v>102</v>
      </c>
      <c r="AZ22" s="399"/>
      <c r="BD22" s="40"/>
      <c r="BE22" s="69" t="s">
        <v>99</v>
      </c>
      <c r="BF22" s="438" t="s">
        <v>100</v>
      </c>
      <c r="BG22" s="687" t="s">
        <v>565</v>
      </c>
      <c r="BH22" s="687" t="s">
        <v>566</v>
      </c>
      <c r="BI22" s="699" t="s">
        <v>567</v>
      </c>
      <c r="BJ22" s="700" t="s">
        <v>570</v>
      </c>
      <c r="BK22" s="70" t="s">
        <v>101</v>
      </c>
      <c r="BL22" s="71" t="s">
        <v>102</v>
      </c>
      <c r="BP22" s="40"/>
      <c r="BQ22" s="69" t="s">
        <v>99</v>
      </c>
      <c r="BR22" s="438" t="s">
        <v>100</v>
      </c>
      <c r="BS22" s="687" t="s">
        <v>565</v>
      </c>
      <c r="BT22" s="687" t="s">
        <v>566</v>
      </c>
      <c r="BU22" s="699" t="s">
        <v>567</v>
      </c>
      <c r="BV22" s="700" t="s">
        <v>570</v>
      </c>
      <c r="BW22" s="70" t="s">
        <v>101</v>
      </c>
      <c r="BX22" s="71" t="s">
        <v>102</v>
      </c>
    </row>
    <row r="23" spans="1:76">
      <c r="A23" s="40"/>
      <c r="B23" s="40"/>
      <c r="C23" s="40"/>
      <c r="D23" s="40"/>
      <c r="F23" s="381" t="s">
        <v>562</v>
      </c>
      <c r="G23" s="372">
        <v>2162390.1683333335</v>
      </c>
      <c r="H23" s="445">
        <v>892227.5316666665</v>
      </c>
      <c r="I23" s="703">
        <v>832139.96</v>
      </c>
      <c r="J23" s="707">
        <v>640919.09000000008</v>
      </c>
      <c r="K23" s="445">
        <f>'Heating Brush Q4'!S3</f>
        <v>1195959.1296999999</v>
      </c>
      <c r="L23" s="445">
        <f>'Heating Brush Q4'!S115</f>
        <v>649615.62969999993</v>
      </c>
      <c r="M23" s="68">
        <f>'Heating Brush Q4'!$S$113</f>
        <v>517758.56000000006</v>
      </c>
      <c r="N23" s="67">
        <f>SUMIFS('SEM_Q1''21_Beauty'!$R$10:$R$68,'SEM_Q1''21_Beauty'!$B$10:$B$68,"Heating Brush",'SEM_Q1''21_Beauty'!$G$10:$G$68,"Network")</f>
        <v>420000</v>
      </c>
      <c r="O23" s="459"/>
      <c r="P23" s="415"/>
      <c r="R23" s="381" t="s">
        <v>562</v>
      </c>
      <c r="S23" s="353">
        <v>168441.02000000005</v>
      </c>
      <c r="T23" s="445">
        <v>324413.58999999997</v>
      </c>
      <c r="U23" s="703">
        <v>419533.4</v>
      </c>
      <c r="V23" s="707">
        <v>636119.36</v>
      </c>
      <c r="W23" s="445">
        <f>'Straightener Q4'!S3</f>
        <v>964893.55623333133</v>
      </c>
      <c r="X23" s="445">
        <f>'Straightener Q4'!S115</f>
        <v>552318.33623333136</v>
      </c>
      <c r="Y23" s="68">
        <f>'Straightener Q4'!$S$113</f>
        <v>525150.30920000002</v>
      </c>
      <c r="Z23" s="67">
        <f>SUMIFS('SEM_Q1''21_Beauty'!$R$10:$R$68,'SEM_Q1''21_Beauty'!$B$10:$B$68,"Straightener",'SEM_Q1''21_Beauty'!$G$10:$G$68,"Network")</f>
        <v>330000</v>
      </c>
      <c r="AA23" s="407"/>
      <c r="AE23" s="381" t="s">
        <v>562</v>
      </c>
      <c r="AF23" s="353">
        <v>84709.47</v>
      </c>
      <c r="AG23" s="445">
        <v>386973.91000000003</v>
      </c>
      <c r="AH23" s="703">
        <v>541897.17999999993</v>
      </c>
      <c r="AI23" s="707">
        <v>797765.17</v>
      </c>
      <c r="AJ23" s="445">
        <f>'Hair Dryer Q4'!S3</f>
        <v>914192.06050000014</v>
      </c>
      <c r="AK23" s="445">
        <f>'Hair Dryer Q4'!S115</f>
        <v>700880.84050000017</v>
      </c>
      <c r="AL23" s="68">
        <f>'Hair Dryer Q4'!$S$113</f>
        <v>597987.28298901662</v>
      </c>
      <c r="AM23" s="67">
        <f>SUMIFS('SEM_Q1''21_Beauty'!$R$10:$R$68,'SEM_Q1''21_Beauty'!$B$10:$B$68,"Hair Dryer",'SEM_Q1''21_Beauty'!$G$10:$G$68,"Network")</f>
        <v>333000</v>
      </c>
      <c r="AN23" s="413"/>
      <c r="AP23" s="194"/>
      <c r="AQ23" s="194"/>
      <c r="AR23" s="381" t="s">
        <v>562</v>
      </c>
      <c r="AS23" s="372"/>
      <c r="AT23" s="445">
        <v>459268</v>
      </c>
      <c r="AU23" s="445"/>
      <c r="AV23" s="445"/>
      <c r="AW23" s="445"/>
      <c r="AX23" s="68"/>
      <c r="AY23" s="67">
        <f>SUMIFS('SEM_Q1''21_Beauty'!$R$10:$R$68,'SEM_Q1''21_Beauty'!$B$10:$B$68,"Autocurler",'SEM_Q1''21_Beauty'!$G$10:$G$68,"Network")</f>
        <v>360000</v>
      </c>
      <c r="AZ23" s="413"/>
      <c r="BD23" s="381" t="s">
        <v>562</v>
      </c>
      <c r="BE23" s="353">
        <v>421148.93999999989</v>
      </c>
      <c r="BF23" s="368"/>
      <c r="BG23" s="706"/>
      <c r="BH23" s="695">
        <v>1227252.82</v>
      </c>
      <c r="BI23" s="693">
        <f>'Femdep Q4'!S3</f>
        <v>1249848.3447</v>
      </c>
      <c r="BJ23" s="445">
        <f>'Femdep Q4'!S115</f>
        <v>718265.37469999993</v>
      </c>
      <c r="BK23" s="68">
        <f>'Femdep Q4'!$S$113</f>
        <v>546960.94999999984</v>
      </c>
      <c r="BL23" s="67">
        <f>SUMIFS('SEM_Q1''21_Beauty'!$R$10:$R$68,'SEM_Q1''21_Beauty'!$B$10:$B$68,"Epilation",'SEM_Q1''21_Beauty'!$G$10:$G$68,"Network")</f>
        <v>594000</v>
      </c>
      <c r="BP23" s="381" t="s">
        <v>562</v>
      </c>
      <c r="BQ23" s="370">
        <f t="shared" ref="BQ23:BV24" si="46">G23+S23+AF23+AS23+BE23</f>
        <v>2836689.5983333336</v>
      </c>
      <c r="BR23" s="439">
        <f t="shared" si="46"/>
        <v>2062883.0316666667</v>
      </c>
      <c r="BS23" s="697">
        <f t="shared" si="46"/>
        <v>1793570.5399999998</v>
      </c>
      <c r="BT23" s="697">
        <f t="shared" si="46"/>
        <v>3302056.4400000004</v>
      </c>
      <c r="BU23" s="697">
        <f t="shared" si="46"/>
        <v>4324893.0911333309</v>
      </c>
      <c r="BV23" s="697">
        <f t="shared" si="46"/>
        <v>2621080.1811333313</v>
      </c>
      <c r="BW23" s="368">
        <f>M23+Y23+AL23+AX23+BK23</f>
        <v>2187857.1021890165</v>
      </c>
      <c r="BX23" s="369">
        <f>N23+Z23+AM23+AY23+BL23</f>
        <v>2037000</v>
      </c>
    </row>
    <row r="24" spans="1:76">
      <c r="A24" s="40"/>
      <c r="B24" s="40"/>
      <c r="C24" s="40"/>
      <c r="D24" s="40"/>
      <c r="F24" s="382" t="s">
        <v>26</v>
      </c>
      <c r="G24" s="354">
        <v>284783</v>
      </c>
      <c r="H24" s="440">
        <v>131440</v>
      </c>
      <c r="I24" s="704">
        <v>119932</v>
      </c>
      <c r="J24" s="360">
        <v>70355</v>
      </c>
      <c r="K24" s="440">
        <f>'Heating Brush Q4'!T3</f>
        <v>155141.22748497067</v>
      </c>
      <c r="L24" s="440">
        <f>'Heating Brush Q4'!T115</f>
        <v>84268.904916810032</v>
      </c>
      <c r="M24" s="360">
        <f>'Heating Brush Q4'!$T$113</f>
        <v>57949</v>
      </c>
      <c r="N24" s="348">
        <f>SUMIFS('SEM_Q1''21_Beauty'!$W$10:$W$68,'SEM_Q1''21_Beauty'!$B$10:$B$68,"Heating Brush",'SEM_Q1''21_Beauty'!$G$10:$G$68,"Network")</f>
        <v>56314.045721494571</v>
      </c>
      <c r="O24" s="457"/>
      <c r="P24" s="194"/>
      <c r="R24" s="382" t="s">
        <v>26</v>
      </c>
      <c r="S24" s="354">
        <v>15498</v>
      </c>
      <c r="T24" s="440">
        <v>40021</v>
      </c>
      <c r="U24" s="704">
        <v>40714</v>
      </c>
      <c r="V24" s="360">
        <v>67404</v>
      </c>
      <c r="W24" s="440">
        <f>'Straightener Q4'!T3</f>
        <v>96072.275884527815</v>
      </c>
      <c r="X24" s="440">
        <f>'Straightener Q4'!T115</f>
        <v>54993.091447136161</v>
      </c>
      <c r="Y24" s="360">
        <f>'Straightener Q4'!$T$113</f>
        <v>29712</v>
      </c>
      <c r="Z24" s="348">
        <f>SUMIFS('SEM_Q1''21_Beauty'!$W$10:$W$68,'SEM_Q1''21_Beauty'!$B$10:$B$68,"Straightener",'SEM_Q1''21_Beauty'!$G$10:$G$68,"Network")</f>
        <v>26113.225010283833</v>
      </c>
      <c r="AA24" s="408"/>
      <c r="AE24" s="382" t="s">
        <v>26</v>
      </c>
      <c r="AF24" s="354">
        <v>6062</v>
      </c>
      <c r="AG24" s="440">
        <v>36532</v>
      </c>
      <c r="AH24" s="704">
        <v>45256</v>
      </c>
      <c r="AI24" s="360">
        <v>84428</v>
      </c>
      <c r="AJ24" s="440">
        <f>'Hair Dryer Q4'!T3</f>
        <v>97580.259869308677</v>
      </c>
      <c r="AK24" s="440">
        <f>'Hair Dryer Q4'!T115</f>
        <v>74811.560402311632</v>
      </c>
      <c r="AL24" s="360">
        <f>'Hair Dryer Q4'!$T$113</f>
        <v>42975</v>
      </c>
      <c r="AM24" s="348">
        <f>SUMIFS('SEM_Q1''21_Beauty'!$W$10:$W$68,'SEM_Q1''21_Beauty'!$B$10:$B$68,"Hair Dryer",'SEM_Q1''21_Beauty'!$G$10:$G$68,"Network")</f>
        <v>34919.876733436053</v>
      </c>
      <c r="AN24" s="401"/>
      <c r="AP24" s="194"/>
      <c r="AQ24" s="194"/>
      <c r="AR24" s="382" t="s">
        <v>26</v>
      </c>
      <c r="AS24" s="354"/>
      <c r="AT24" s="440">
        <v>65375</v>
      </c>
      <c r="AU24" s="440"/>
      <c r="AV24" s="440"/>
      <c r="AW24" s="440"/>
      <c r="AX24" s="360"/>
      <c r="AY24" s="348">
        <f>SUMIFS('SEM_Q1''21_Beauty'!$W$10:$W$68,'SEM_Q1''21_Beauty'!$B$10:$B$68,"Autocurler",'SEM_Q1''21_Beauty'!$G$10:$G$68,"Network")</f>
        <v>53703.947368421053</v>
      </c>
      <c r="AZ24" s="401"/>
      <c r="BD24" s="382" t="s">
        <v>26</v>
      </c>
      <c r="BE24" s="354">
        <v>67216</v>
      </c>
      <c r="BF24" s="360"/>
      <c r="BG24" s="704"/>
      <c r="BH24" s="360">
        <v>168753</v>
      </c>
      <c r="BI24" s="440">
        <f>'Femdep Q4'!T3</f>
        <v>173011.51420172749</v>
      </c>
      <c r="BJ24" s="440">
        <f>'Femdep Q4'!T115</f>
        <v>99426.606917934623</v>
      </c>
      <c r="BK24" s="360">
        <f>'Femdep Q4'!$T$113</f>
        <v>70589</v>
      </c>
      <c r="BL24" s="348">
        <f>SUMIFS('SEM_Q1''21_Beauty'!$W$10:$W$68,'SEM_Q1''21_Beauty'!$B$10:$B$68,"Epilation",'SEM_Q1''21_Beauty'!$G$10:$G$68,"Network")</f>
        <v>78785.707443241685</v>
      </c>
      <c r="BP24" s="382" t="s">
        <v>26</v>
      </c>
      <c r="BQ24" s="354">
        <f t="shared" si="46"/>
        <v>373559</v>
      </c>
      <c r="BR24" s="440">
        <f t="shared" si="46"/>
        <v>273368</v>
      </c>
      <c r="BS24" s="440">
        <f t="shared" si="46"/>
        <v>205902</v>
      </c>
      <c r="BT24" s="440">
        <f t="shared" si="46"/>
        <v>390940</v>
      </c>
      <c r="BU24" s="440">
        <f t="shared" si="46"/>
        <v>521805.27744053467</v>
      </c>
      <c r="BV24" s="440">
        <f t="shared" si="46"/>
        <v>313500.1636841924</v>
      </c>
      <c r="BW24" s="360">
        <f>M24+Y24+AL24+AX24+BK24</f>
        <v>201225</v>
      </c>
      <c r="BX24" s="348">
        <f>N24+Z24+AM24+AY24+BL24</f>
        <v>249836.80227687716</v>
      </c>
    </row>
    <row r="25" spans="1:76">
      <c r="A25" s="40"/>
      <c r="B25" s="40"/>
      <c r="C25" s="40"/>
      <c r="D25" s="40"/>
      <c r="F25" s="382" t="s">
        <v>48</v>
      </c>
      <c r="G25" s="355">
        <f t="shared" ref="G25:N25" si="47">G23/G24</f>
        <v>7.5931153486455774</v>
      </c>
      <c r="H25" s="441">
        <f t="shared" si="47"/>
        <v>6.7880974715966715</v>
      </c>
      <c r="I25" s="451">
        <f t="shared" si="47"/>
        <v>6.9384314444852082</v>
      </c>
      <c r="J25" s="673">
        <f t="shared" si="47"/>
        <v>9.1097873640821554</v>
      </c>
      <c r="K25" s="441">
        <f t="shared" si="47"/>
        <v>7.7088414800370106</v>
      </c>
      <c r="L25" s="441">
        <f t="shared" ref="L25" si="48">L23/L24</f>
        <v>7.7088414800370106</v>
      </c>
      <c r="M25" s="361">
        <f t="shared" si="47"/>
        <v>8.934728123004712</v>
      </c>
      <c r="N25" s="349">
        <f t="shared" si="47"/>
        <v>7.4581748588467995</v>
      </c>
      <c r="O25" s="457"/>
      <c r="P25" s="194"/>
      <c r="R25" s="382" t="s">
        <v>48</v>
      </c>
      <c r="S25" s="355">
        <f t="shared" ref="S25:Z25" si="49">S23/S24</f>
        <v>10.868564976125954</v>
      </c>
      <c r="T25" s="441">
        <f t="shared" si="49"/>
        <v>8.1060840558706673</v>
      </c>
      <c r="U25" s="451">
        <f t="shared" si="49"/>
        <v>10.304401434396031</v>
      </c>
      <c r="V25" s="673">
        <f t="shared" si="49"/>
        <v>9.4374126164619305</v>
      </c>
      <c r="W25" s="441">
        <f t="shared" si="49"/>
        <v>10.043413121523905</v>
      </c>
      <c r="X25" s="441">
        <f t="shared" si="49"/>
        <v>10.043413121523905</v>
      </c>
      <c r="Y25" s="361">
        <f t="shared" si="49"/>
        <v>17.674687304792677</v>
      </c>
      <c r="Z25" s="349">
        <f t="shared" si="49"/>
        <v>12.637274785861967</v>
      </c>
      <c r="AA25" s="409"/>
      <c r="AE25" s="382" t="s">
        <v>48</v>
      </c>
      <c r="AF25" s="355">
        <f t="shared" ref="AF25:AM25" si="50">AF23/AF24</f>
        <v>13.973848564830089</v>
      </c>
      <c r="AG25" s="441">
        <f t="shared" si="50"/>
        <v>10.592738147377643</v>
      </c>
      <c r="AH25" s="451">
        <f t="shared" si="50"/>
        <v>11.974040569206291</v>
      </c>
      <c r="AI25" s="673">
        <f t="shared" si="50"/>
        <v>9.4490591983702092</v>
      </c>
      <c r="AJ25" s="441">
        <f t="shared" si="50"/>
        <v>9.368616785038256</v>
      </c>
      <c r="AK25" s="441">
        <f t="shared" si="50"/>
        <v>9.368616785038256</v>
      </c>
      <c r="AL25" s="361">
        <f t="shared" si="50"/>
        <v>13.914770982874151</v>
      </c>
      <c r="AM25" s="349">
        <f t="shared" si="50"/>
        <v>9.5361161364338365</v>
      </c>
      <c r="AN25" s="400"/>
      <c r="AR25" s="382" t="s">
        <v>48</v>
      </c>
      <c r="AS25" s="355" t="e">
        <f t="shared" ref="AS25:AY25" si="51">AS23/AS24</f>
        <v>#DIV/0!</v>
      </c>
      <c r="AT25" s="441">
        <f t="shared" si="51"/>
        <v>7.0251319311663476</v>
      </c>
      <c r="AU25" s="441" t="e">
        <f t="shared" si="51"/>
        <v>#DIV/0!</v>
      </c>
      <c r="AV25" s="441" t="e">
        <f t="shared" si="51"/>
        <v>#DIV/0!</v>
      </c>
      <c r="AW25" s="441" t="e">
        <f t="shared" si="51"/>
        <v>#DIV/0!</v>
      </c>
      <c r="AX25" s="361" t="e">
        <f t="shared" si="51"/>
        <v>#DIV/0!</v>
      </c>
      <c r="AY25" s="349">
        <f t="shared" si="51"/>
        <v>6.7034178610804851</v>
      </c>
      <c r="AZ25" s="400"/>
      <c r="BD25" s="382" t="s">
        <v>48</v>
      </c>
      <c r="BE25" s="355">
        <f t="shared" ref="BE25:BL25" si="52">BE23/BE24</f>
        <v>6.2656055105927146</v>
      </c>
      <c r="BF25" s="361" t="e">
        <f t="shared" si="52"/>
        <v>#DIV/0!</v>
      </c>
      <c r="BG25" s="710" t="e">
        <f t="shared" si="52"/>
        <v>#DIV/0!</v>
      </c>
      <c r="BH25" s="673">
        <f t="shared" si="52"/>
        <v>7.2724800151701015</v>
      </c>
      <c r="BI25" s="672">
        <f t="shared" si="52"/>
        <v>7.2240760995982338</v>
      </c>
      <c r="BJ25" s="441">
        <f t="shared" si="52"/>
        <v>7.2240760995982338</v>
      </c>
      <c r="BK25" s="361">
        <f t="shared" si="52"/>
        <v>7.7485295159302421</v>
      </c>
      <c r="BL25" s="349">
        <f t="shared" si="52"/>
        <v>7.5394385514393694</v>
      </c>
      <c r="BP25" s="382" t="s">
        <v>48</v>
      </c>
      <c r="BQ25" s="355">
        <f t="shared" ref="BQ25:BX25" si="53">BQ23/BQ24</f>
        <v>7.5936855980804472</v>
      </c>
      <c r="BR25" s="441">
        <f t="shared" si="53"/>
        <v>7.5461759667066621</v>
      </c>
      <c r="BS25" s="441">
        <f t="shared" si="53"/>
        <v>8.7107970782216775</v>
      </c>
      <c r="BT25" s="441">
        <f t="shared" si="53"/>
        <v>8.4464532664859071</v>
      </c>
      <c r="BU25" s="672">
        <f t="shared" si="53"/>
        <v>8.2883276159011228</v>
      </c>
      <c r="BV25" s="441">
        <f t="shared" si="53"/>
        <v>8.3606979668875177</v>
      </c>
      <c r="BW25" s="361">
        <f t="shared" si="53"/>
        <v>10.872690282961941</v>
      </c>
      <c r="BX25" s="349">
        <f t="shared" si="53"/>
        <v>8.1533224146158076</v>
      </c>
    </row>
    <row r="26" spans="1:76">
      <c r="A26" s="40"/>
      <c r="B26" s="40"/>
      <c r="C26" s="40"/>
      <c r="D26" s="40"/>
      <c r="F26" s="383" t="s">
        <v>103</v>
      </c>
      <c r="G26" s="356">
        <f t="shared" ref="G26:N26" si="54">(G24-G27)/G24</f>
        <v>0.33963754858962791</v>
      </c>
      <c r="H26" s="442">
        <f t="shared" si="54"/>
        <v>0.36960590383444919</v>
      </c>
      <c r="I26" s="452">
        <f t="shared" si="54"/>
        <v>0.50158423106426975</v>
      </c>
      <c r="J26" s="362">
        <f t="shared" si="54"/>
        <v>0.41418520361026223</v>
      </c>
      <c r="K26" s="442">
        <f t="shared" si="54"/>
        <v>0.34817095286160532</v>
      </c>
      <c r="L26" s="442">
        <f t="shared" ref="L26" si="55">(L24-L27)/L24</f>
        <v>0.34817095286160527</v>
      </c>
      <c r="M26" s="362">
        <f t="shared" si="54"/>
        <v>0.46984417332482009</v>
      </c>
      <c r="N26" s="350">
        <f t="shared" si="54"/>
        <v>0.45001590067422037</v>
      </c>
      <c r="O26" s="457"/>
      <c r="P26" s="194"/>
      <c r="R26" s="383" t="s">
        <v>103</v>
      </c>
      <c r="S26" s="356">
        <f t="shared" ref="S26:Z26" si="56">(S24-S27)/S24</f>
        <v>0.24396696347915861</v>
      </c>
      <c r="T26" s="442">
        <f t="shared" si="56"/>
        <v>0.2487693960670648</v>
      </c>
      <c r="U26" s="452">
        <f t="shared" si="56"/>
        <v>0.38389743085916395</v>
      </c>
      <c r="V26" s="362">
        <f t="shared" si="56"/>
        <v>0.44929084327339625</v>
      </c>
      <c r="W26" s="442">
        <f t="shared" si="56"/>
        <v>0.38</v>
      </c>
      <c r="X26" s="442">
        <f t="shared" si="56"/>
        <v>0.37999999999999995</v>
      </c>
      <c r="Y26" s="362">
        <f t="shared" si="56"/>
        <v>0.42208535271943998</v>
      </c>
      <c r="Z26" s="350">
        <f t="shared" si="56"/>
        <v>0.31670591710150642</v>
      </c>
      <c r="AA26" s="410"/>
      <c r="AE26" s="383" t="s">
        <v>103</v>
      </c>
      <c r="AF26" s="356">
        <f t="shared" ref="AF26:AM26" si="57">(AF24-AF27)/AF24</f>
        <v>0.35301880567469485</v>
      </c>
      <c r="AG26" s="442">
        <f t="shared" si="57"/>
        <v>0.27666155699113104</v>
      </c>
      <c r="AH26" s="452">
        <f t="shared" si="57"/>
        <v>0.42946791585646105</v>
      </c>
      <c r="AI26" s="362">
        <f t="shared" si="57"/>
        <v>0.30340645283555218</v>
      </c>
      <c r="AJ26" s="442">
        <f t="shared" si="57"/>
        <v>0.32449703727325102</v>
      </c>
      <c r="AK26" s="442">
        <f t="shared" si="57"/>
        <v>0.32449703727325102</v>
      </c>
      <c r="AL26" s="362">
        <f t="shared" si="57"/>
        <v>0.36865619546247819</v>
      </c>
      <c r="AM26" s="350">
        <f t="shared" si="57"/>
        <v>0.37010332986391398</v>
      </c>
      <c r="AN26" s="397"/>
      <c r="AR26" s="383" t="s">
        <v>103</v>
      </c>
      <c r="AS26" s="356" t="e">
        <f t="shared" ref="AS26:AY26" si="58">(AS24-AS27)/AS24</f>
        <v>#DIV/0!</v>
      </c>
      <c r="AT26" s="442">
        <f t="shared" si="58"/>
        <v>0.37647418738049715</v>
      </c>
      <c r="AU26" s="442" t="e">
        <f t="shared" si="58"/>
        <v>#DIV/0!</v>
      </c>
      <c r="AV26" s="442" t="e">
        <f t="shared" si="58"/>
        <v>#DIV/0!</v>
      </c>
      <c r="AW26" s="442" t="e">
        <f t="shared" si="58"/>
        <v>#DIV/0!</v>
      </c>
      <c r="AX26" s="365" t="e">
        <f t="shared" si="58"/>
        <v>#DIV/0!</v>
      </c>
      <c r="AY26" s="350">
        <f t="shared" si="58"/>
        <v>0.35867652284090457</v>
      </c>
      <c r="AZ26" s="397"/>
      <c r="BD26" s="383" t="s">
        <v>103</v>
      </c>
      <c r="BE26" s="356">
        <f t="shared" ref="BE26:BL26" si="59">(BE24-BE27)/BE24</f>
        <v>0.3597952868364675</v>
      </c>
      <c r="BF26" s="362" t="e">
        <f t="shared" si="59"/>
        <v>#DIV/0!</v>
      </c>
      <c r="BG26" s="452" t="e">
        <f t="shared" si="59"/>
        <v>#DIV/0!</v>
      </c>
      <c r="BH26" s="362">
        <f t="shared" si="59"/>
        <v>0.36621571172068051</v>
      </c>
      <c r="BI26" s="442">
        <f t="shared" si="59"/>
        <v>0.40671014906995551</v>
      </c>
      <c r="BJ26" s="442">
        <f t="shared" si="59"/>
        <v>0.40671014906995556</v>
      </c>
      <c r="BK26" s="362">
        <f t="shared" si="59"/>
        <v>0.4371077646658828</v>
      </c>
      <c r="BL26" s="350">
        <f t="shared" si="59"/>
        <v>0.46304623779856136</v>
      </c>
      <c r="BP26" s="383" t="s">
        <v>103</v>
      </c>
      <c r="BQ26" s="356">
        <f t="shared" ref="BQ26:BX26" si="60">(BQ24-BQ27)/BQ24</f>
        <v>0.33951263388112723</v>
      </c>
      <c r="BR26" s="442">
        <f t="shared" si="60"/>
        <v>0.3411372216206725</v>
      </c>
      <c r="BS26" s="442">
        <f t="shared" si="60"/>
        <v>0.46246272498567281</v>
      </c>
      <c r="BT26" s="442">
        <f t="shared" si="60"/>
        <v>0.37560751010385224</v>
      </c>
      <c r="BU26" s="442">
        <f t="shared" si="60"/>
        <v>0.36901347325942546</v>
      </c>
      <c r="BV26" s="442">
        <f t="shared" si="60"/>
        <v>0.36667062034663206</v>
      </c>
      <c r="BW26" s="365">
        <f t="shared" si="60"/>
        <v>0.42969809914275064</v>
      </c>
      <c r="BX26" s="350">
        <f t="shared" si="60"/>
        <v>0.40938789295856753</v>
      </c>
    </row>
    <row r="27" spans="1:76">
      <c r="A27" s="40"/>
      <c r="B27" s="40"/>
      <c r="C27" s="40"/>
      <c r="D27" s="40"/>
      <c r="F27" s="382" t="s">
        <v>28</v>
      </c>
      <c r="G27" s="354">
        <v>188060</v>
      </c>
      <c r="H27" s="440">
        <v>82859</v>
      </c>
      <c r="I27" s="704">
        <v>59776</v>
      </c>
      <c r="J27" s="360">
        <v>41215</v>
      </c>
      <c r="K27" s="440">
        <f>'Heating Brush Q4'!V3</f>
        <v>101125.55848340936</v>
      </c>
      <c r="L27" s="440">
        <f>'Heating Brush Q4'!V115</f>
        <v>54928.91999532027</v>
      </c>
      <c r="M27" s="360">
        <f>'Heating Brush Q4'!$V$113</f>
        <v>30722</v>
      </c>
      <c r="N27" s="348">
        <f>SUMIFS('SEM_Q1''21_Beauty'!$Y$10:$Y$68,'SEM_Q1''21_Beauty'!$B$10:$B$68,"Heating Brush",'SEM_Q1''21_Beauty'!$G$10:$G$68,"Network")</f>
        <v>30971.829715526965</v>
      </c>
      <c r="O27" s="457"/>
      <c r="P27" s="194"/>
      <c r="R27" s="382" t="s">
        <v>28</v>
      </c>
      <c r="S27" s="354">
        <v>11717</v>
      </c>
      <c r="T27" s="440">
        <v>30065</v>
      </c>
      <c r="U27" s="704">
        <v>25084</v>
      </c>
      <c r="V27" s="360">
        <v>37120</v>
      </c>
      <c r="W27" s="440">
        <f>'Straightener Q4'!V3</f>
        <v>59564.811048407246</v>
      </c>
      <c r="X27" s="440">
        <f>'Straightener Q4'!V115</f>
        <v>34095.716697224423</v>
      </c>
      <c r="Y27" s="360">
        <f>'Straightener Q4'!$V$113</f>
        <v>17171</v>
      </c>
      <c r="Z27" s="348">
        <f>SUMIFS('SEM_Q1''21_Beauty'!$Y$10:$Y$68,'SEM_Q1''21_Beauty'!$B$10:$B$68,"Straightener",'SEM_Q1''21_Beauty'!$G$10:$G$68,"Network")</f>
        <v>17843.012134923898</v>
      </c>
      <c r="AA27" s="408"/>
      <c r="AE27" s="382" t="s">
        <v>28</v>
      </c>
      <c r="AF27" s="354">
        <v>3922</v>
      </c>
      <c r="AG27" s="440">
        <v>26425</v>
      </c>
      <c r="AH27" s="704">
        <v>25820</v>
      </c>
      <c r="AI27" s="360">
        <v>58812</v>
      </c>
      <c r="AJ27" s="440">
        <f>'Hair Dryer Q4'!V3</f>
        <v>65915.754645364097</v>
      </c>
      <c r="AK27" s="440">
        <f>'Hair Dryer Q4'!V115</f>
        <v>50535.430697972646</v>
      </c>
      <c r="AL27" s="360">
        <f>'Hair Dryer Q4'!$V$113</f>
        <v>27132</v>
      </c>
      <c r="AM27" s="348">
        <f>SUMIFS('SEM_Q1''21_Beauty'!$Y$10:$Y$68,'SEM_Q1''21_Beauty'!$B$10:$B$68,"Hair Dryer",'SEM_Q1''21_Beauty'!$G$10:$G$68,"Network")</f>
        <v>21995.914075953955</v>
      </c>
      <c r="AN27" s="401"/>
      <c r="AP27" s="194"/>
      <c r="AQ27" s="194"/>
      <c r="AR27" s="382" t="s">
        <v>28</v>
      </c>
      <c r="AS27" s="354"/>
      <c r="AT27" s="440">
        <v>40763</v>
      </c>
      <c r="AU27" s="440"/>
      <c r="AV27" s="440"/>
      <c r="AW27" s="440"/>
      <c r="AX27" s="360"/>
      <c r="AY27" s="348">
        <f>SUMIFS('SEM_Q1''21_Beauty'!$Y$10:$Y$68,'SEM_Q1''21_Beauty'!$B$10:$B$68,"Autocurler",'SEM_Q1''21_Beauty'!$G$10:$G$68,"Network")</f>
        <v>34441.602263484841</v>
      </c>
      <c r="AZ27" s="401"/>
      <c r="BD27" s="382" t="s">
        <v>28</v>
      </c>
      <c r="BE27" s="354">
        <v>43032</v>
      </c>
      <c r="BF27" s="360"/>
      <c r="BG27" s="704"/>
      <c r="BH27" s="360">
        <v>106953</v>
      </c>
      <c r="BI27" s="440">
        <f>'Femdep Q4'!V3</f>
        <v>102645.97546992417</v>
      </c>
      <c r="BJ27" s="440">
        <f>'Femdep Q4'!V115</f>
        <v>58988.79679682156</v>
      </c>
      <c r="BK27" s="360">
        <f>'Femdep Q4'!$V$113</f>
        <v>39734</v>
      </c>
      <c r="BL27" s="348">
        <f>SUMIFS('SEM_Q1''21_Beauty'!$Y$10:$Y$68,'SEM_Q1''21_Beauty'!$B$10:$B$68,"Epilation",'SEM_Q1''21_Beauty'!$G$10:$G$68,"Network")</f>
        <v>42304.28201935051</v>
      </c>
      <c r="BP27" s="382" t="s">
        <v>28</v>
      </c>
      <c r="BQ27" s="354">
        <f t="shared" ref="BQ27:BV27" si="61">G27+S27+AF27+AS27+BE27</f>
        <v>246731</v>
      </c>
      <c r="BR27" s="440">
        <f t="shared" si="61"/>
        <v>180112</v>
      </c>
      <c r="BS27" s="440">
        <f t="shared" si="61"/>
        <v>110680</v>
      </c>
      <c r="BT27" s="440">
        <f t="shared" si="61"/>
        <v>244100</v>
      </c>
      <c r="BU27" s="440">
        <f t="shared" si="61"/>
        <v>329252.09964710486</v>
      </c>
      <c r="BV27" s="440">
        <f t="shared" si="61"/>
        <v>198548.86418733888</v>
      </c>
      <c r="BW27" s="360">
        <f>M27+Y27+AL27+AX27+BK27</f>
        <v>114759</v>
      </c>
      <c r="BX27" s="348">
        <f>N27+Z27+AM27+AY27+BL27</f>
        <v>147556.64020924017</v>
      </c>
    </row>
    <row r="28" spans="1:76">
      <c r="A28" s="40"/>
      <c r="B28" s="40"/>
      <c r="C28" s="40"/>
      <c r="D28" s="40"/>
      <c r="F28" s="382" t="s">
        <v>104</v>
      </c>
      <c r="G28" s="357">
        <f t="shared" ref="G28:N28" si="62">1-G29/G27</f>
        <v>0.39547136559348028</v>
      </c>
      <c r="H28" s="443">
        <f t="shared" si="62"/>
        <v>0.50831905908446884</v>
      </c>
      <c r="I28" s="453">
        <f t="shared" si="62"/>
        <v>0.60678198608137046</v>
      </c>
      <c r="J28" s="363">
        <f t="shared" si="62"/>
        <v>0.45679970884386756</v>
      </c>
      <c r="K28" s="443">
        <f t="shared" si="62"/>
        <v>0.36720372426375902</v>
      </c>
      <c r="L28" s="443">
        <f t="shared" ref="L28" si="63">1-L29/L27</f>
        <v>0.36720372426375913</v>
      </c>
      <c r="M28" s="363">
        <f t="shared" si="62"/>
        <v>0.39261766812056509</v>
      </c>
      <c r="N28" s="351">
        <f t="shared" si="62"/>
        <v>0.42936672101018203</v>
      </c>
      <c r="O28" s="457"/>
      <c r="P28" s="194"/>
      <c r="Q28" s="194"/>
      <c r="R28" s="382" t="s">
        <v>104</v>
      </c>
      <c r="S28" s="357">
        <f t="shared" ref="S28:Z28" si="64">1-S29/S27</f>
        <v>0.37124603567466075</v>
      </c>
      <c r="T28" s="443">
        <f t="shared" si="64"/>
        <v>0.48006400664064952</v>
      </c>
      <c r="U28" s="453">
        <f t="shared" si="64"/>
        <v>0.51997289108595113</v>
      </c>
      <c r="V28" s="363">
        <f t="shared" si="64"/>
        <v>0.63499461206896557</v>
      </c>
      <c r="W28" s="443">
        <f t="shared" si="64"/>
        <v>0.32632105079833296</v>
      </c>
      <c r="X28" s="443">
        <f t="shared" si="64"/>
        <v>0.32632105079833296</v>
      </c>
      <c r="Y28" s="363">
        <f t="shared" si="64"/>
        <v>0.34459262710383787</v>
      </c>
      <c r="Z28" s="351">
        <f t="shared" si="64"/>
        <v>0.37711301405766007</v>
      </c>
      <c r="AA28" s="411"/>
      <c r="AB28" s="666"/>
      <c r="AE28" s="382" t="s">
        <v>104</v>
      </c>
      <c r="AF28" s="357">
        <f t="shared" ref="AF28:AM28" si="65">1-AF29/AF27</f>
        <v>0.40286132075471692</v>
      </c>
      <c r="AG28" s="443">
        <f t="shared" si="65"/>
        <v>0.431507365551283</v>
      </c>
      <c r="AH28" s="453">
        <f t="shared" si="65"/>
        <v>0.54860573199070495</v>
      </c>
      <c r="AI28" s="363">
        <f t="shared" si="65"/>
        <v>0.56677208732911644</v>
      </c>
      <c r="AJ28" s="443">
        <f t="shared" si="65"/>
        <v>0.32759357828633329</v>
      </c>
      <c r="AK28" s="443">
        <f t="shared" si="65"/>
        <v>0.3275935782863334</v>
      </c>
      <c r="AL28" s="363">
        <f t="shared" si="65"/>
        <v>0.33152734778121773</v>
      </c>
      <c r="AM28" s="351">
        <f t="shared" si="65"/>
        <v>0.3696116820803218</v>
      </c>
      <c r="AN28" s="402"/>
      <c r="AR28" s="382" t="s">
        <v>104</v>
      </c>
      <c r="AS28" s="357" t="e">
        <f t="shared" ref="AS28:AY28" si="66">1-AS29/AS27</f>
        <v>#DIV/0!</v>
      </c>
      <c r="AT28" s="443">
        <f t="shared" si="66"/>
        <v>0.75203002723057677</v>
      </c>
      <c r="AU28" s="443" t="e">
        <f t="shared" si="66"/>
        <v>#DIV/0!</v>
      </c>
      <c r="AV28" s="443" t="e">
        <f t="shared" si="66"/>
        <v>#DIV/0!</v>
      </c>
      <c r="AW28" s="443" t="e">
        <f t="shared" si="66"/>
        <v>#DIV/0!</v>
      </c>
      <c r="AX28" s="363" t="e">
        <f t="shared" si="66"/>
        <v>#DIV/0!</v>
      </c>
      <c r="AY28" s="351">
        <f t="shared" si="66"/>
        <v>0.58199066863918847</v>
      </c>
      <c r="AZ28" s="402"/>
      <c r="BD28" s="382" t="s">
        <v>104</v>
      </c>
      <c r="BE28" s="357">
        <f t="shared" ref="BE28:BL28" si="67">1-BE29/BE27</f>
        <v>0.68827233041183844</v>
      </c>
      <c r="BF28" s="363" t="e">
        <f t="shared" si="67"/>
        <v>#DIV/0!</v>
      </c>
      <c r="BG28" s="453" t="e">
        <f t="shared" si="67"/>
        <v>#DIV/0!</v>
      </c>
      <c r="BH28" s="363">
        <f t="shared" si="67"/>
        <v>0.69866202911559283</v>
      </c>
      <c r="BI28" s="443">
        <f t="shared" si="67"/>
        <v>0.46618330414097642</v>
      </c>
      <c r="BJ28" s="443">
        <f t="shared" si="67"/>
        <v>0.46618330414097642</v>
      </c>
      <c r="BK28" s="363">
        <f t="shared" si="67"/>
        <v>0.48414456133286354</v>
      </c>
      <c r="BL28" s="351">
        <f t="shared" si="67"/>
        <v>0.48641145092363403</v>
      </c>
      <c r="BP28" s="382" t="s">
        <v>104</v>
      </c>
      <c r="BQ28" s="357">
        <f t="shared" ref="BQ28:BX28" si="68">1-BQ29/BQ27</f>
        <v>0.44550539589995641</v>
      </c>
      <c r="BR28" s="443">
        <f t="shared" si="68"/>
        <v>0.54748998073989397</v>
      </c>
      <c r="BS28" s="443">
        <f t="shared" si="68"/>
        <v>0.5735363209251898</v>
      </c>
      <c r="BT28" s="443">
        <f t="shared" si="68"/>
        <v>0.61636624334289225</v>
      </c>
      <c r="BU28" s="443">
        <f t="shared" si="68"/>
        <v>0.38273514881577952</v>
      </c>
      <c r="BV28" s="443">
        <f t="shared" si="68"/>
        <v>0.37950823426501368</v>
      </c>
      <c r="BW28" s="363">
        <f t="shared" si="68"/>
        <v>0.40267865701165051</v>
      </c>
      <c r="BX28" s="351">
        <f t="shared" si="68"/>
        <v>0.46611951915774263</v>
      </c>
    </row>
    <row r="29" spans="1:76">
      <c r="A29" s="40"/>
      <c r="B29" s="40"/>
      <c r="C29" s="40"/>
      <c r="D29" s="40"/>
      <c r="F29" s="382" t="s">
        <v>105</v>
      </c>
      <c r="G29" s="354">
        <v>113687.65498649009</v>
      </c>
      <c r="H29" s="440">
        <v>40740.191083319995</v>
      </c>
      <c r="I29" s="704">
        <v>23505</v>
      </c>
      <c r="J29" s="360">
        <v>22388</v>
      </c>
      <c r="K29" s="440">
        <f>'Heating Brush Q4'!X3</f>
        <v>63991.876790048867</v>
      </c>
      <c r="L29" s="440">
        <f>'Heating Brush Q4'!X115</f>
        <v>34758.816003252599</v>
      </c>
      <c r="M29" s="360">
        <f>'Heating Brush Q4'!$X$113</f>
        <v>18660</v>
      </c>
      <c r="N29" s="348">
        <f>SUMIFS('SEM_Q1''21_Beauty'!$AB$10:$AB$68,'SEM_Q1''21_Beauty'!$B$10:$B$68,"Heating Brush",'SEM_Q1''21_Beauty'!$G$10:$G$68,"Network")</f>
        <v>17673.556746885431</v>
      </c>
      <c r="O29" s="457"/>
      <c r="P29" s="194"/>
      <c r="Q29" s="194"/>
      <c r="R29" s="382" t="s">
        <v>105</v>
      </c>
      <c r="S29" s="354">
        <v>7367.1102000000001</v>
      </c>
      <c r="T29" s="440">
        <v>15631.875640348873</v>
      </c>
      <c r="U29" s="704">
        <v>12041</v>
      </c>
      <c r="V29" s="360">
        <v>13549</v>
      </c>
      <c r="W29" s="440">
        <f>'Straightener Q4'!X3</f>
        <v>40127.559316486841</v>
      </c>
      <c r="X29" s="440">
        <f>'Straightener Q4'!X115</f>
        <v>22969.566596863882</v>
      </c>
      <c r="Y29" s="360">
        <f>'Straightener Q4'!$X$113</f>
        <v>11254</v>
      </c>
      <c r="Z29" s="348">
        <f>SUMIFS('SEM_Q1''21_Beauty'!$AB$10:$AB$68,'SEM_Q1''21_Beauty'!$B$10:$B$68,"Straightener",'SEM_Q1''21_Beauty'!$G$10:$G$68,"Network")</f>
        <v>11114.180048855344</v>
      </c>
      <c r="AA29" s="408"/>
      <c r="AE29" s="382" t="s">
        <v>105</v>
      </c>
      <c r="AF29" s="354">
        <v>2341.9779000000003</v>
      </c>
      <c r="AG29" s="440">
        <v>15022.417865307347</v>
      </c>
      <c r="AH29" s="704">
        <v>11655</v>
      </c>
      <c r="AI29" s="360">
        <v>25479</v>
      </c>
      <c r="AJ29" s="440">
        <f>'Hair Dryer Q4'!X3</f>
        <v>44322.176715645277</v>
      </c>
      <c r="AK29" s="440">
        <f>'Hair Dryer Q4'!X115</f>
        <v>33980.34812538277</v>
      </c>
      <c r="AL29" s="360">
        <f>'Hair Dryer Q4'!$X$113</f>
        <v>18137</v>
      </c>
      <c r="AM29" s="348">
        <f>SUMIFS('SEM_Q1''21_Beauty'!$AB$10:$AB$68,'SEM_Q1''21_Beauty'!$B$10:$B$68,"Hair Dryer",'SEM_Q1''21_Beauty'!$G$10:$G$68,"Network")</f>
        <v>13865.967275446386</v>
      </c>
      <c r="AN29" s="401"/>
      <c r="AP29" s="194"/>
      <c r="AQ29" s="194"/>
      <c r="AR29" s="382" t="s">
        <v>105</v>
      </c>
      <c r="AS29" s="354"/>
      <c r="AT29" s="440">
        <v>10108</v>
      </c>
      <c r="AU29" s="440"/>
      <c r="AV29" s="440"/>
      <c r="AW29" s="440"/>
      <c r="AX29" s="360"/>
      <c r="AY29" s="348">
        <f>SUMIFS('SEM_Q1''21_Beauty'!$AB$10:$AB$68,'SEM_Q1''21_Beauty'!$B$10:$B$68,"Autocurler",'SEM_Q1''21_Beauty'!$G$10:$G$68,"Network")</f>
        <v>14396.911133154312</v>
      </c>
      <c r="AZ29" s="401"/>
      <c r="BD29" s="382" t="s">
        <v>105</v>
      </c>
      <c r="BE29" s="354">
        <v>13414.265077717768</v>
      </c>
      <c r="BF29" s="360"/>
      <c r="BG29" s="704"/>
      <c r="BH29" s="360">
        <v>32229</v>
      </c>
      <c r="BI29" s="440">
        <f>'Femdep Q4'!X3</f>
        <v>54794.135468581313</v>
      </c>
      <c r="BJ29" s="440">
        <f>'Femdep Q4'!X115</f>
        <v>31489.204598778641</v>
      </c>
      <c r="BK29" s="360">
        <f>'Femdep Q4'!$X$113</f>
        <v>20497</v>
      </c>
      <c r="BL29" s="348">
        <f>SUMIFS('SEM_Q1''21_Beauty'!$AB$10:$AB$68,'SEM_Q1''21_Beauty'!$B$10:$B$68,"Epilation",'SEM_Q1''21_Beauty'!$G$10:$G$68,"Network")</f>
        <v>21726.994822035627</v>
      </c>
      <c r="BP29" s="382" t="s">
        <v>105</v>
      </c>
      <c r="BQ29" s="354">
        <f t="shared" ref="BQ29:BV29" si="69">G29+S29+AF29+AS29+BE29</f>
        <v>136811.00816420786</v>
      </c>
      <c r="BR29" s="440">
        <f t="shared" si="69"/>
        <v>81502.484588976222</v>
      </c>
      <c r="BS29" s="440">
        <f t="shared" si="69"/>
        <v>47201</v>
      </c>
      <c r="BT29" s="440">
        <f t="shared" si="69"/>
        <v>93645</v>
      </c>
      <c r="BU29" s="440">
        <f t="shared" si="69"/>
        <v>203235.74829076231</v>
      </c>
      <c r="BV29" s="440">
        <f t="shared" si="69"/>
        <v>123197.93532427789</v>
      </c>
      <c r="BW29" s="360">
        <f>M29+Y29+AL29+AX29+BK29</f>
        <v>68548</v>
      </c>
      <c r="BX29" s="348">
        <f>N29+Z29+AM29+AY29+BL29</f>
        <v>78777.610026377108</v>
      </c>
    </row>
    <row r="30" spans="1:76">
      <c r="A30" s="40"/>
      <c r="B30" s="40"/>
      <c r="C30" s="40"/>
      <c r="D30" s="40"/>
      <c r="F30" s="382" t="s">
        <v>32</v>
      </c>
      <c r="G30" s="355">
        <f t="shared" ref="G30:N30" si="70">G23/G29</f>
        <v>19.020448337951013</v>
      </c>
      <c r="H30" s="441">
        <f t="shared" si="70"/>
        <v>21.90042579431999</v>
      </c>
      <c r="I30" s="451">
        <f t="shared" si="70"/>
        <v>35.402678579025739</v>
      </c>
      <c r="J30" s="673">
        <f t="shared" si="70"/>
        <v>28.627795694121854</v>
      </c>
      <c r="K30" s="441">
        <f t="shared" si="70"/>
        <v>18.689233535434905</v>
      </c>
      <c r="L30" s="441">
        <f t="shared" ref="L30" si="71">L23/L29</f>
        <v>18.689233535434905</v>
      </c>
      <c r="M30" s="361">
        <f t="shared" si="70"/>
        <v>27.746975348338694</v>
      </c>
      <c r="N30" s="349">
        <f t="shared" si="70"/>
        <v>23.764316714235555</v>
      </c>
      <c r="O30" s="457"/>
      <c r="P30" s="194"/>
      <c r="Q30" s="194"/>
      <c r="R30" s="382" t="s">
        <v>32</v>
      </c>
      <c r="S30" s="355">
        <f t="shared" ref="S30:Z30" si="72">S23/S29</f>
        <v>22.863920238358869</v>
      </c>
      <c r="T30" s="441">
        <f t="shared" si="72"/>
        <v>20.753337441005876</v>
      </c>
      <c r="U30" s="451">
        <f t="shared" si="72"/>
        <v>34.842072917531766</v>
      </c>
      <c r="V30" s="673">
        <f t="shared" si="72"/>
        <v>46.949543139715104</v>
      </c>
      <c r="W30" s="441">
        <f t="shared" si="72"/>
        <v>24.045657714270561</v>
      </c>
      <c r="X30" s="441">
        <f t="shared" si="72"/>
        <v>24.045657714270558</v>
      </c>
      <c r="Y30" s="361">
        <f t="shared" si="72"/>
        <v>46.663436040518931</v>
      </c>
      <c r="Z30" s="349">
        <f t="shared" si="72"/>
        <v>29.691798994563428</v>
      </c>
      <c r="AA30" s="409"/>
      <c r="AE30" s="382" t="s">
        <v>32</v>
      </c>
      <c r="AF30" s="355">
        <f t="shared" ref="AF30:AM30" si="73">AF23/AF29</f>
        <v>36.170055234082263</v>
      </c>
      <c r="AG30" s="441">
        <f t="shared" si="73"/>
        <v>25.759762074897047</v>
      </c>
      <c r="AH30" s="451">
        <f t="shared" si="73"/>
        <v>46.494824538824531</v>
      </c>
      <c r="AI30" s="673">
        <f t="shared" si="73"/>
        <v>31.310693904784333</v>
      </c>
      <c r="AJ30" s="441">
        <f t="shared" si="73"/>
        <v>20.626064156666288</v>
      </c>
      <c r="AK30" s="441">
        <f t="shared" si="73"/>
        <v>20.626064156666292</v>
      </c>
      <c r="AL30" s="361">
        <f t="shared" si="73"/>
        <v>32.970573026907239</v>
      </c>
      <c r="AM30" s="349">
        <f t="shared" si="73"/>
        <v>24.01563435027505</v>
      </c>
      <c r="AN30" s="400"/>
      <c r="AR30" s="382" t="s">
        <v>32</v>
      </c>
      <c r="AS30" s="355" t="e">
        <f t="shared" ref="AS30:AY30" si="74">AS23/AS29</f>
        <v>#DIV/0!</v>
      </c>
      <c r="AT30" s="441">
        <f t="shared" si="74"/>
        <v>45.436090225563909</v>
      </c>
      <c r="AU30" s="441" t="e">
        <f t="shared" si="74"/>
        <v>#DIV/0!</v>
      </c>
      <c r="AV30" s="441" t="e">
        <f t="shared" si="74"/>
        <v>#DIV/0!</v>
      </c>
      <c r="AW30" s="441" t="e">
        <f t="shared" si="74"/>
        <v>#DIV/0!</v>
      </c>
      <c r="AX30" s="361" t="e">
        <f t="shared" si="74"/>
        <v>#DIV/0!</v>
      </c>
      <c r="AY30" s="349">
        <f t="shared" si="74"/>
        <v>25.005363766604379</v>
      </c>
      <c r="AZ30" s="400"/>
      <c r="BD30" s="382" t="s">
        <v>32</v>
      </c>
      <c r="BE30" s="355">
        <f t="shared" ref="BE30:BL30" si="75">BE23/BE29</f>
        <v>31.395602931655496</v>
      </c>
      <c r="BF30" s="361" t="e">
        <f t="shared" si="75"/>
        <v>#DIV/0!</v>
      </c>
      <c r="BG30" s="710" t="e">
        <f t="shared" si="75"/>
        <v>#DIV/0!</v>
      </c>
      <c r="BH30" s="673">
        <f t="shared" si="75"/>
        <v>38.079146731204816</v>
      </c>
      <c r="BI30" s="672">
        <f t="shared" si="75"/>
        <v>22.809892591820468</v>
      </c>
      <c r="BJ30" s="441">
        <f t="shared" si="75"/>
        <v>22.809892591820468</v>
      </c>
      <c r="BK30" s="361">
        <f t="shared" si="75"/>
        <v>26.684927062496943</v>
      </c>
      <c r="BL30" s="349">
        <f t="shared" si="75"/>
        <v>27.339261819934812</v>
      </c>
      <c r="BP30" s="382" t="s">
        <v>32</v>
      </c>
      <c r="BQ30" s="355">
        <f t="shared" ref="BQ30:BX30" si="76">BQ23/BQ29</f>
        <v>20.73436660103102</v>
      </c>
      <c r="BR30" s="441">
        <f t="shared" si="76"/>
        <v>25.310676626239761</v>
      </c>
      <c r="BS30" s="441">
        <f t="shared" si="76"/>
        <v>37.998570792991671</v>
      </c>
      <c r="BT30" s="441">
        <f t="shared" si="76"/>
        <v>35.261428159538688</v>
      </c>
      <c r="BU30" s="672">
        <f t="shared" si="76"/>
        <v>21.280178942465657</v>
      </c>
      <c r="BV30" s="441">
        <f t="shared" si="76"/>
        <v>21.275358018250898</v>
      </c>
      <c r="BW30" s="361">
        <f t="shared" si="76"/>
        <v>31.917154434688342</v>
      </c>
      <c r="BX30" s="349">
        <f t="shared" si="76"/>
        <v>25.857600901042204</v>
      </c>
    </row>
    <row r="31" spans="1:76">
      <c r="A31" s="40"/>
      <c r="B31" s="40"/>
      <c r="C31" s="40"/>
      <c r="D31" s="40"/>
      <c r="F31" s="383" t="s">
        <v>106</v>
      </c>
      <c r="G31" s="356">
        <f t="shared" ref="G31:N31" si="77">G32/G27</f>
        <v>0.16697862384345422</v>
      </c>
      <c r="H31" s="442">
        <f t="shared" si="77"/>
        <v>0.12656440459093157</v>
      </c>
      <c r="I31" s="452">
        <f t="shared" si="77"/>
        <v>8.7627141327623129E-2</v>
      </c>
      <c r="J31" s="362">
        <f t="shared" si="77"/>
        <v>0.17602814509280601</v>
      </c>
      <c r="K31" s="442">
        <f t="shared" si="77"/>
        <v>0.14760759693485268</v>
      </c>
      <c r="L31" s="442">
        <f t="shared" ref="L31" si="78">L32/L27</f>
        <v>0.14760759693485268</v>
      </c>
      <c r="M31" s="362">
        <f t="shared" si="77"/>
        <v>0.12518716229412147</v>
      </c>
      <c r="N31" s="184">
        <f t="shared" si="77"/>
        <v>0.11183043458578296</v>
      </c>
      <c r="O31" s="460"/>
      <c r="P31" s="194"/>
      <c r="Q31" s="194"/>
      <c r="R31" s="383" t="s">
        <v>106</v>
      </c>
      <c r="S31" s="356">
        <f t="shared" ref="S31:Z31" si="79">S32/S27</f>
        <v>0.21046342920542802</v>
      </c>
      <c r="T31" s="442">
        <f t="shared" si="79"/>
        <v>0.16161649758855812</v>
      </c>
      <c r="U31" s="452">
        <f t="shared" si="79"/>
        <v>0.122189443469941</v>
      </c>
      <c r="V31" s="362">
        <f t="shared" si="79"/>
        <v>9.0678879310344823E-2</v>
      </c>
      <c r="W31" s="442">
        <f t="shared" si="79"/>
        <v>0.14877138980993668</v>
      </c>
      <c r="X31" s="442">
        <f t="shared" si="79"/>
        <v>0.14877138980993668</v>
      </c>
      <c r="Y31" s="362">
        <f t="shared" si="79"/>
        <v>0.1075068429328519</v>
      </c>
      <c r="Z31" s="184">
        <f t="shared" si="79"/>
        <v>0.12703566429757682</v>
      </c>
      <c r="AA31" s="410"/>
      <c r="AE31" s="383" t="s">
        <v>106</v>
      </c>
      <c r="AF31" s="356">
        <f t="shared" ref="AF31:AM31" si="80">AF32/AF27</f>
        <v>0.190464048954615</v>
      </c>
      <c r="AG31" s="442">
        <f t="shared" si="80"/>
        <v>0.21298013245033112</v>
      </c>
      <c r="AH31" s="452">
        <f t="shared" si="80"/>
        <v>9.8102246320681638E-2</v>
      </c>
      <c r="AI31" s="362">
        <f t="shared" si="80"/>
        <v>0.1362307012174386</v>
      </c>
      <c r="AJ31" s="442">
        <f t="shared" si="80"/>
        <v>0.13869825822353649</v>
      </c>
      <c r="AK31" s="442">
        <f t="shared" si="80"/>
        <v>0.13869825822353649</v>
      </c>
      <c r="AL31" s="362">
        <f t="shared" si="80"/>
        <v>9.0667846085802736E-2</v>
      </c>
      <c r="AM31" s="184">
        <f t="shared" si="80"/>
        <v>0.10427814063529658</v>
      </c>
      <c r="AN31" s="397"/>
      <c r="AR31" s="383" t="s">
        <v>106</v>
      </c>
      <c r="AS31" s="356" t="e">
        <f t="shared" ref="AS31:AY31" si="81">AS32/AS27</f>
        <v>#DIV/0!</v>
      </c>
      <c r="AT31" s="442">
        <f t="shared" si="81"/>
        <v>0.10732772367097614</v>
      </c>
      <c r="AU31" s="442" t="e">
        <f t="shared" si="81"/>
        <v>#DIV/0!</v>
      </c>
      <c r="AV31" s="442" t="e">
        <f t="shared" si="81"/>
        <v>#DIV/0!</v>
      </c>
      <c r="AW31" s="442" t="e">
        <f t="shared" si="81"/>
        <v>#DIV/0!</v>
      </c>
      <c r="AX31" s="362" t="e">
        <f t="shared" si="81"/>
        <v>#DIV/0!</v>
      </c>
      <c r="AY31" s="184">
        <f t="shared" si="81"/>
        <v>0.10125221503221557</v>
      </c>
      <c r="AZ31" s="397"/>
      <c r="BD31" s="383" t="s">
        <v>106</v>
      </c>
      <c r="BE31" s="356">
        <f t="shared" ref="BE31:BL31" si="82">BE32/BE27</f>
        <v>0.14963283138129763</v>
      </c>
      <c r="BF31" s="362" t="e">
        <f t="shared" si="82"/>
        <v>#DIV/0!</v>
      </c>
      <c r="BG31" s="452" t="e">
        <f t="shared" si="82"/>
        <v>#DIV/0!</v>
      </c>
      <c r="BH31" s="362">
        <f t="shared" si="82"/>
        <v>0.14775649116901818</v>
      </c>
      <c r="BI31" s="442">
        <f t="shared" si="82"/>
        <v>0.15317149274892591</v>
      </c>
      <c r="BJ31" s="442">
        <f t="shared" si="82"/>
        <v>0.15317149274892591</v>
      </c>
      <c r="BK31" s="362">
        <f t="shared" si="82"/>
        <v>0.14438516132279661</v>
      </c>
      <c r="BL31" s="184">
        <f t="shared" si="82"/>
        <v>0.15039307753551515</v>
      </c>
      <c r="BP31" s="383" t="s">
        <v>106</v>
      </c>
      <c r="BQ31" s="356">
        <f t="shared" ref="BQ31:BX31" si="83">BQ32/BQ27</f>
        <v>0.1663917383709384</v>
      </c>
      <c r="BR31" s="442">
        <f t="shared" si="83"/>
        <v>0.14074020609398596</v>
      </c>
      <c r="BS31" s="442">
        <f t="shared" si="83"/>
        <v>9.7903867003975423E-2</v>
      </c>
      <c r="BT31" s="442">
        <f t="shared" si="83"/>
        <v>0.14107333060221222</v>
      </c>
      <c r="BU31" s="442">
        <f t="shared" si="83"/>
        <v>0.14776907451225266</v>
      </c>
      <c r="BV31" s="442">
        <f t="shared" si="83"/>
        <v>0.14719284060970636</v>
      </c>
      <c r="BW31" s="362">
        <f t="shared" si="83"/>
        <v>0.1210275446805915</v>
      </c>
      <c r="BX31" s="184">
        <f t="shared" si="83"/>
        <v>0.12113006068015555</v>
      </c>
    </row>
    <row r="32" spans="1:76">
      <c r="A32" s="40"/>
      <c r="B32" s="40"/>
      <c r="C32" s="40"/>
      <c r="D32" s="40"/>
      <c r="F32" s="382" t="s">
        <v>107</v>
      </c>
      <c r="G32" s="354">
        <v>31402</v>
      </c>
      <c r="H32" s="440">
        <v>10487</v>
      </c>
      <c r="I32" s="704">
        <v>5238</v>
      </c>
      <c r="J32" s="360">
        <v>7255</v>
      </c>
      <c r="K32" s="440">
        <f>'Heating Brush Q4'!AA3</f>
        <v>14926.90067643096</v>
      </c>
      <c r="L32" s="440">
        <f>'Heating Brush Q4'!AA115</f>
        <v>8107.9258827360045</v>
      </c>
      <c r="M32" s="360">
        <f>'Heating Brush Q4'!$AA$113</f>
        <v>3846</v>
      </c>
      <c r="N32" s="348">
        <f>SUMIFS('SEM_Q1''21_Beauty'!$AD$10:$AD$68,'SEM_Q1''21_Beauty'!$B$10:$B$68,"Heating Brush",'SEM_Q1''21_Beauty'!$G$10:$G$68,"Network")</f>
        <v>3463.5931770042471</v>
      </c>
      <c r="O32" s="457"/>
      <c r="P32" s="194"/>
      <c r="Q32" s="194"/>
      <c r="R32" s="382" t="s">
        <v>107</v>
      </c>
      <c r="S32" s="354">
        <v>2466</v>
      </c>
      <c r="T32" s="440">
        <v>4859</v>
      </c>
      <c r="U32" s="704">
        <v>3065</v>
      </c>
      <c r="V32" s="360">
        <v>3366</v>
      </c>
      <c r="W32" s="440">
        <f>'Straightener Q4'!AA3</f>
        <v>8861.5397234378179</v>
      </c>
      <c r="X32" s="440">
        <f>'Straightener Q4'!AA115</f>
        <v>5072.4671596119415</v>
      </c>
      <c r="Y32" s="360">
        <f>'Straightener Q4'!$AA$113</f>
        <v>1846</v>
      </c>
      <c r="Z32" s="348">
        <f>SUMIFS('SEM_Q1''21_Beauty'!$AD$10:$AD$68,'SEM_Q1''21_Beauty'!$B$10:$B$68,"Straightener",'SEM_Q1''21_Beauty'!$G$10:$G$68,"Network")</f>
        <v>2266.6988996297819</v>
      </c>
      <c r="AA32" s="408"/>
      <c r="AE32" s="382" t="s">
        <v>107</v>
      </c>
      <c r="AF32" s="354">
        <v>747</v>
      </c>
      <c r="AG32" s="440">
        <v>5628</v>
      </c>
      <c r="AH32" s="704">
        <v>2533</v>
      </c>
      <c r="AI32" s="360">
        <v>8012</v>
      </c>
      <c r="AJ32" s="440">
        <f>'Hair Dryer Q4'!AA3</f>
        <v>9142.4003588019841</v>
      </c>
      <c r="AK32" s="440">
        <f>'Hair Dryer Q4'!AA115</f>
        <v>7009.1762163850426</v>
      </c>
      <c r="AL32" s="360">
        <f>'Hair Dryer Q4'!$AA$113</f>
        <v>2460</v>
      </c>
      <c r="AM32" s="348">
        <f>SUMIFS('SEM_Q1''21_Beauty'!$AD$10:$AD$68,'SEM_Q1''21_Beauty'!$B$10:$B$68,"Hair Dryer",'SEM_Q1''21_Beauty'!$G$10:$G$68,"Network")</f>
        <v>2293.6930214142262</v>
      </c>
      <c r="AN32" s="401"/>
      <c r="AP32" s="194"/>
      <c r="AQ32" s="194"/>
      <c r="AR32" s="382" t="s">
        <v>107</v>
      </c>
      <c r="AS32" s="354"/>
      <c r="AT32" s="440">
        <v>4375</v>
      </c>
      <c r="AU32" s="440"/>
      <c r="AV32" s="440"/>
      <c r="AW32" s="440"/>
      <c r="AX32" s="360"/>
      <c r="AY32" s="348">
        <f>SUMIFS('SEM_Q1''21_Beauty'!$AD$10:$AD$68,'SEM_Q1''21_Beauty'!$B$10:$B$68,"Autocurler",'SEM_Q1''21_Beauty'!$G$10:$G$68,"Network")</f>
        <v>3487.2885184364095</v>
      </c>
      <c r="AZ32" s="401"/>
      <c r="BD32" s="382" t="s">
        <v>107</v>
      </c>
      <c r="BE32" s="354">
        <v>6439</v>
      </c>
      <c r="BF32" s="360"/>
      <c r="BG32" s="704"/>
      <c r="BH32" s="360">
        <v>15803</v>
      </c>
      <c r="BI32" s="440">
        <f>'Femdep Q4'!AA3</f>
        <v>15722.437287397917</v>
      </c>
      <c r="BJ32" s="440">
        <f>'Femdep Q4'!AA115</f>
        <v>9035.4020608322171</v>
      </c>
      <c r="BK32" s="360">
        <f>'Femdep Q4'!$AA$113</f>
        <v>5737</v>
      </c>
      <c r="BL32" s="348">
        <f>SUMIFS('SEM_Q1''21_Beauty'!$AD$10:$AD$68,'SEM_Q1''21_Beauty'!$B$10:$B$68,"Epilation",'SEM_Q1''21_Beauty'!$G$10:$G$68,"Network")</f>
        <v>6362.2711658204807</v>
      </c>
      <c r="BP32" s="382" t="s">
        <v>107</v>
      </c>
      <c r="BQ32" s="354">
        <f t="shared" ref="BQ32:BV32" si="84">G32+S32+AF32+AS32+BE32</f>
        <v>41054</v>
      </c>
      <c r="BR32" s="440">
        <f t="shared" si="84"/>
        <v>25349</v>
      </c>
      <c r="BS32" s="440">
        <f t="shared" si="84"/>
        <v>10836</v>
      </c>
      <c r="BT32" s="440">
        <f t="shared" si="84"/>
        <v>34436</v>
      </c>
      <c r="BU32" s="440">
        <f t="shared" si="84"/>
        <v>48653.278046068677</v>
      </c>
      <c r="BV32" s="440">
        <f t="shared" si="84"/>
        <v>29224.971319565208</v>
      </c>
      <c r="BW32" s="360">
        <f>M32+Y32+AL32+AX32+BK32</f>
        <v>13889</v>
      </c>
      <c r="BX32" s="348">
        <f>N32+Z32+AM32+AY32+BL32</f>
        <v>17873.544782305144</v>
      </c>
    </row>
    <row r="33" spans="2:80" ht="15" thickBot="1">
      <c r="F33" s="384" t="s">
        <v>34</v>
      </c>
      <c r="G33" s="371">
        <f t="shared" ref="G33:N33" si="85">G23/G32</f>
        <v>68.861542842281807</v>
      </c>
      <c r="H33" s="444">
        <f t="shared" si="85"/>
        <v>85.07938701884872</v>
      </c>
      <c r="I33" s="454">
        <f t="shared" si="85"/>
        <v>158.86597174494082</v>
      </c>
      <c r="J33" s="698">
        <f t="shared" si="85"/>
        <v>88.341707787732616</v>
      </c>
      <c r="K33" s="444">
        <f t="shared" si="85"/>
        <v>80.121061674134168</v>
      </c>
      <c r="L33" s="444">
        <f t="shared" ref="L33" si="86">L23/L32</f>
        <v>80.12106167413414</v>
      </c>
      <c r="M33" s="367">
        <f t="shared" si="85"/>
        <v>134.62261050442018</v>
      </c>
      <c r="N33" s="366">
        <f t="shared" si="85"/>
        <v>121.26135447676019</v>
      </c>
      <c r="O33" s="457"/>
      <c r="P33" s="194"/>
      <c r="Q33" s="194"/>
      <c r="R33" s="384" t="s">
        <v>34</v>
      </c>
      <c r="S33" s="371">
        <f t="shared" ref="S33:Z33" si="87">S23/S32</f>
        <v>68.305360908353634</v>
      </c>
      <c r="T33" s="444">
        <f t="shared" si="87"/>
        <v>66.765505247993403</v>
      </c>
      <c r="U33" s="454">
        <f t="shared" si="87"/>
        <v>136.87876019575856</v>
      </c>
      <c r="V33" s="698">
        <f t="shared" si="87"/>
        <v>188.98376708259062</v>
      </c>
      <c r="W33" s="444">
        <f t="shared" si="87"/>
        <v>108.8855420555518</v>
      </c>
      <c r="X33" s="444">
        <f t="shared" si="87"/>
        <v>108.88554205555178</v>
      </c>
      <c r="Y33" s="367">
        <f t="shared" si="87"/>
        <v>284.48012416034669</v>
      </c>
      <c r="Z33" s="366">
        <f t="shared" si="87"/>
        <v>145.58616499699127</v>
      </c>
      <c r="AA33" s="409"/>
      <c r="AE33" s="384" t="s">
        <v>34</v>
      </c>
      <c r="AF33" s="371">
        <f t="shared" ref="AF33:AM33" si="88">AF23/AF32</f>
        <v>113.39955823293172</v>
      </c>
      <c r="AG33" s="444">
        <f t="shared" si="88"/>
        <v>68.75869047619048</v>
      </c>
      <c r="AH33" s="454">
        <f t="shared" si="88"/>
        <v>213.93493091196208</v>
      </c>
      <c r="AI33" s="698">
        <f t="shared" si="88"/>
        <v>99.571289316025968</v>
      </c>
      <c r="AJ33" s="444">
        <f t="shared" si="88"/>
        <v>99.994752430618277</v>
      </c>
      <c r="AK33" s="444">
        <f t="shared" si="88"/>
        <v>99.994752430618291</v>
      </c>
      <c r="AL33" s="367">
        <f t="shared" si="88"/>
        <v>243.08426137764903</v>
      </c>
      <c r="AM33" s="366">
        <f t="shared" si="88"/>
        <v>145.18071812185295</v>
      </c>
      <c r="AN33" s="400"/>
      <c r="AR33" s="384" t="s">
        <v>34</v>
      </c>
      <c r="AS33" s="371" t="e">
        <f t="shared" ref="AS33:AY33" si="89">AS23/AS32</f>
        <v>#DIV/0!</v>
      </c>
      <c r="AT33" s="444">
        <f t="shared" si="89"/>
        <v>104.97554285714286</v>
      </c>
      <c r="AU33" s="444" t="e">
        <f t="shared" si="89"/>
        <v>#DIV/0!</v>
      </c>
      <c r="AV33" s="444" t="e">
        <f t="shared" si="89"/>
        <v>#DIV/0!</v>
      </c>
      <c r="AW33" s="444" t="e">
        <f t="shared" si="89"/>
        <v>#DIV/0!</v>
      </c>
      <c r="AX33" s="367" t="e">
        <f t="shared" si="89"/>
        <v>#DIV/0!</v>
      </c>
      <c r="AY33" s="366">
        <f t="shared" si="89"/>
        <v>103.23206643120331</v>
      </c>
      <c r="AZ33" s="400"/>
      <c r="BD33" s="384" t="s">
        <v>34</v>
      </c>
      <c r="BE33" s="371">
        <f t="shared" ref="BE33:BL33" si="90">BE23/BE32</f>
        <v>65.405954340736116</v>
      </c>
      <c r="BF33" s="367" t="e">
        <f t="shared" si="90"/>
        <v>#DIV/0!</v>
      </c>
      <c r="BG33" s="702" t="e">
        <f t="shared" si="90"/>
        <v>#DIV/0!</v>
      </c>
      <c r="BH33" s="698">
        <f t="shared" si="90"/>
        <v>77.659483642346387</v>
      </c>
      <c r="BI33" s="696">
        <f t="shared" si="90"/>
        <v>79.4945670224932</v>
      </c>
      <c r="BJ33" s="444">
        <f t="shared" si="90"/>
        <v>79.4945670224932</v>
      </c>
      <c r="BK33" s="367">
        <f t="shared" si="90"/>
        <v>95.339192957991955</v>
      </c>
      <c r="BL33" s="366">
        <f t="shared" si="90"/>
        <v>93.362886384204842</v>
      </c>
      <c r="BP33" s="384" t="s">
        <v>34</v>
      </c>
      <c r="BQ33" s="371">
        <f t="shared" ref="BQ33:BX33" si="91">BQ23/BQ32</f>
        <v>69.096545971971878</v>
      </c>
      <c r="BR33" s="444">
        <f t="shared" si="91"/>
        <v>81.37926670348601</v>
      </c>
      <c r="BS33" s="444">
        <f t="shared" si="91"/>
        <v>165.51961424880028</v>
      </c>
      <c r="BT33" s="444">
        <f t="shared" si="91"/>
        <v>95.889663143222222</v>
      </c>
      <c r="BU33" s="696">
        <f t="shared" si="91"/>
        <v>88.892121246962816</v>
      </c>
      <c r="BV33" s="444">
        <f t="shared" si="91"/>
        <v>89.686321757948136</v>
      </c>
      <c r="BW33" s="367">
        <f t="shared" si="91"/>
        <v>157.52445116199991</v>
      </c>
      <c r="BX33" s="366">
        <f t="shared" si="91"/>
        <v>113.96732012648299</v>
      </c>
    </row>
    <row r="34" spans="2:80">
      <c r="O34" s="411"/>
      <c r="P34" s="194"/>
      <c r="Q34" s="194"/>
      <c r="R34" s="194"/>
    </row>
    <row r="35" spans="2:80">
      <c r="O35" s="402"/>
      <c r="P35" s="194"/>
      <c r="Q35" s="194"/>
      <c r="R35" s="194"/>
    </row>
    <row r="36" spans="2:80">
      <c r="O36" s="402"/>
      <c r="P36" s="194"/>
      <c r="Q36" s="194"/>
      <c r="R36" s="194"/>
    </row>
    <row r="37" spans="2:80" ht="18.600000000000001" thickBot="1">
      <c r="B37" s="192" t="s">
        <v>90</v>
      </c>
      <c r="O37" s="402"/>
      <c r="P37" s="194"/>
      <c r="Q37" s="194"/>
      <c r="R37" s="194"/>
    </row>
    <row r="38" spans="2:80" ht="16.2" customHeight="1" thickBot="1">
      <c r="B38" s="39"/>
      <c r="C38" s="39"/>
      <c r="D38" s="39"/>
      <c r="E38" s="39"/>
      <c r="F38" s="40"/>
      <c r="G38" s="754" t="s">
        <v>114</v>
      </c>
      <c r="H38" s="755"/>
      <c r="I38" s="755"/>
      <c r="J38" s="755"/>
      <c r="K38" s="755"/>
      <c r="L38" s="755"/>
      <c r="M38" s="755"/>
      <c r="N38" s="756"/>
      <c r="O38" s="402"/>
      <c r="P38" s="194"/>
      <c r="Q38" s="412"/>
      <c r="R38" s="194"/>
      <c r="S38" s="754" t="s">
        <v>115</v>
      </c>
      <c r="T38" s="755"/>
      <c r="U38" s="755"/>
      <c r="V38" s="755"/>
      <c r="W38" s="755"/>
      <c r="X38" s="755"/>
      <c r="Y38" s="755"/>
      <c r="Z38" s="756"/>
      <c r="AA38" s="404"/>
      <c r="AF38" s="754" t="s">
        <v>116</v>
      </c>
      <c r="AG38" s="755"/>
      <c r="AH38" s="755"/>
      <c r="AI38" s="755"/>
      <c r="AJ38" s="755"/>
      <c r="AK38" s="755"/>
      <c r="AL38" s="755"/>
      <c r="AM38" s="756"/>
      <c r="AN38" s="398"/>
      <c r="AS38" s="754" t="s">
        <v>117</v>
      </c>
      <c r="AT38" s="755"/>
      <c r="AU38" s="755"/>
      <c r="AV38" s="755"/>
      <c r="AW38" s="755"/>
      <c r="AX38" s="755"/>
      <c r="AY38" s="756"/>
      <c r="AZ38" s="398"/>
      <c r="BE38" s="754" t="s">
        <v>118</v>
      </c>
      <c r="BF38" s="755"/>
      <c r="BG38" s="755"/>
      <c r="BH38" s="755"/>
      <c r="BI38" s="755"/>
      <c r="BJ38" s="755"/>
      <c r="BK38" s="755"/>
      <c r="BL38" s="756"/>
      <c r="BP38" s="40"/>
      <c r="BQ38" s="751" t="s">
        <v>90</v>
      </c>
      <c r="BR38" s="752"/>
      <c r="BS38" s="752"/>
      <c r="BT38" s="752"/>
      <c r="BU38" s="752"/>
      <c r="BV38" s="752"/>
      <c r="BW38" s="752"/>
      <c r="BX38" s="753"/>
      <c r="BY38" s="398"/>
      <c r="BZ38" s="402"/>
      <c r="CA38" s="194"/>
    </row>
    <row r="39" spans="2:80" ht="15" thickBot="1">
      <c r="B39" s="40"/>
      <c r="C39" s="40"/>
      <c r="D39" s="40"/>
      <c r="E39" s="40"/>
      <c r="F39" s="40"/>
      <c r="G39" s="686" t="s">
        <v>99</v>
      </c>
      <c r="H39" s="687" t="s">
        <v>100</v>
      </c>
      <c r="I39" s="687" t="s">
        <v>565</v>
      </c>
      <c r="J39" s="687" t="s">
        <v>566</v>
      </c>
      <c r="K39" s="699" t="s">
        <v>569</v>
      </c>
      <c r="L39" s="700" t="s">
        <v>570</v>
      </c>
      <c r="M39" s="688" t="s">
        <v>101</v>
      </c>
      <c r="N39" s="689" t="s">
        <v>102</v>
      </c>
      <c r="O39" s="402"/>
      <c r="P39" s="194"/>
      <c r="Q39" s="412"/>
      <c r="R39" s="194"/>
      <c r="S39" s="69" t="s">
        <v>99</v>
      </c>
      <c r="T39" s="438" t="s">
        <v>100</v>
      </c>
      <c r="U39" s="687" t="s">
        <v>565</v>
      </c>
      <c r="V39" s="687" t="s">
        <v>566</v>
      </c>
      <c r="W39" s="699" t="s">
        <v>567</v>
      </c>
      <c r="X39" s="700" t="s">
        <v>570</v>
      </c>
      <c r="Y39" s="70" t="s">
        <v>101</v>
      </c>
      <c r="Z39" s="71" t="s">
        <v>102</v>
      </c>
      <c r="AA39" s="406"/>
      <c r="AE39"/>
      <c r="AF39" s="69" t="s">
        <v>99</v>
      </c>
      <c r="AG39" s="438" t="s">
        <v>100</v>
      </c>
      <c r="AH39" s="687" t="s">
        <v>565</v>
      </c>
      <c r="AI39" s="687" t="s">
        <v>566</v>
      </c>
      <c r="AJ39" s="700" t="s">
        <v>569</v>
      </c>
      <c r="AK39" s="700" t="s">
        <v>570</v>
      </c>
      <c r="AL39" s="70" t="s">
        <v>101</v>
      </c>
      <c r="AM39" s="71" t="s">
        <v>102</v>
      </c>
      <c r="AN39" s="399"/>
      <c r="AS39" s="69" t="s">
        <v>99</v>
      </c>
      <c r="AT39" s="438" t="s">
        <v>100</v>
      </c>
      <c r="AU39" s="687" t="s">
        <v>565</v>
      </c>
      <c r="AV39" s="687" t="s">
        <v>566</v>
      </c>
      <c r="AW39" s="699" t="s">
        <v>567</v>
      </c>
      <c r="AX39" s="70" t="s">
        <v>101</v>
      </c>
      <c r="AY39" s="71" t="s">
        <v>102</v>
      </c>
      <c r="AZ39" s="399"/>
      <c r="BE39" s="69" t="s">
        <v>99</v>
      </c>
      <c r="BF39" s="438" t="s">
        <v>100</v>
      </c>
      <c r="BG39" s="687" t="s">
        <v>565</v>
      </c>
      <c r="BH39" s="687" t="s">
        <v>566</v>
      </c>
      <c r="BI39" s="699" t="s">
        <v>567</v>
      </c>
      <c r="BJ39" s="700" t="s">
        <v>570</v>
      </c>
      <c r="BK39" s="70" t="s">
        <v>101</v>
      </c>
      <c r="BL39" s="71" t="s">
        <v>102</v>
      </c>
      <c r="BP39" s="40"/>
      <c r="BQ39" s="69" t="s">
        <v>99</v>
      </c>
      <c r="BR39" s="438" t="s">
        <v>100</v>
      </c>
      <c r="BS39" s="687" t="s">
        <v>565</v>
      </c>
      <c r="BT39" s="687" t="s">
        <v>566</v>
      </c>
      <c r="BU39" s="699" t="s">
        <v>567</v>
      </c>
      <c r="BV39" s="700" t="s">
        <v>570</v>
      </c>
      <c r="BW39" s="70" t="s">
        <v>101</v>
      </c>
      <c r="BX39" s="71" t="s">
        <v>102</v>
      </c>
      <c r="BY39" s="399"/>
      <c r="BZ39" s="402"/>
      <c r="CA39" s="194"/>
    </row>
    <row r="40" spans="2:80" ht="15" thickBot="1">
      <c r="B40" s="40"/>
      <c r="C40" s="40"/>
      <c r="D40" s="40"/>
      <c r="E40" s="40"/>
      <c r="F40" s="692" t="s">
        <v>563</v>
      </c>
      <c r="G40" s="738">
        <v>0.85848480442053221</v>
      </c>
      <c r="H40" s="735">
        <v>0.78471353515136355</v>
      </c>
      <c r="I40" s="735">
        <v>0.82503008423586044</v>
      </c>
      <c r="J40" s="735">
        <v>0.85671548335478487</v>
      </c>
      <c r="K40" s="736"/>
      <c r="L40" s="736"/>
      <c r="M40" s="737">
        <v>0.86345214301576723</v>
      </c>
      <c r="N40" s="71"/>
      <c r="O40" s="402"/>
      <c r="P40" s="194"/>
      <c r="Q40" s="412"/>
      <c r="R40" s="691" t="s">
        <v>563</v>
      </c>
      <c r="S40" s="734">
        <v>0.29187340007380896</v>
      </c>
      <c r="T40" s="739">
        <v>0.2522649172133708</v>
      </c>
      <c r="U40" s="739">
        <v>0.20443908323281063</v>
      </c>
      <c r="V40" s="739">
        <v>0.29831883145005711</v>
      </c>
      <c r="W40" s="736"/>
      <c r="X40" s="736"/>
      <c r="Y40" s="737">
        <v>0.28361607704164554</v>
      </c>
      <c r="Z40" s="71"/>
      <c r="AA40" s="406"/>
      <c r="AE40" s="691" t="s">
        <v>563</v>
      </c>
      <c r="AF40" s="734">
        <v>0.16218286663671361</v>
      </c>
      <c r="AG40" s="735">
        <v>0.12469584125317101</v>
      </c>
      <c r="AH40" s="735">
        <v>0.13964084695792012</v>
      </c>
      <c r="AI40" s="735">
        <v>0.13516482745680503</v>
      </c>
      <c r="AJ40" s="736"/>
      <c r="AK40" s="736"/>
      <c r="AL40" s="737">
        <v>0.13516482745680503</v>
      </c>
      <c r="AM40" s="71"/>
      <c r="AN40" s="398"/>
      <c r="AR40" s="691" t="s">
        <v>563</v>
      </c>
      <c r="AS40" s="69"/>
      <c r="AT40" s="438"/>
      <c r="AU40" s="438"/>
      <c r="AV40" s="438"/>
      <c r="AW40" s="700"/>
      <c r="AX40" s="70"/>
      <c r="AY40" s="71"/>
      <c r="AZ40" s="399"/>
      <c r="BD40" s="691" t="s">
        <v>563</v>
      </c>
      <c r="BE40" s="734">
        <v>0.3208527668510473</v>
      </c>
      <c r="BF40" s="735">
        <v>0.35662165510406341</v>
      </c>
      <c r="BG40" s="735">
        <v>0.36343202835912797</v>
      </c>
      <c r="BH40" s="735">
        <v>0.38074407124357584</v>
      </c>
      <c r="BI40" s="736"/>
      <c r="BJ40" s="736"/>
      <c r="BK40" s="737">
        <v>0.38057130413818313</v>
      </c>
      <c r="BL40" s="71"/>
      <c r="BP40" s="40"/>
      <c r="BQ40" s="686"/>
      <c r="BR40" s="687"/>
      <c r="BS40" s="687"/>
      <c r="BT40" s="687"/>
      <c r="BU40" s="701"/>
      <c r="BV40" s="700"/>
      <c r="BW40" s="688"/>
      <c r="BX40" s="689"/>
      <c r="BY40" s="399"/>
      <c r="BZ40" s="402"/>
      <c r="CA40" s="194"/>
    </row>
    <row r="41" spans="2:80">
      <c r="B41" s="40"/>
      <c r="C41" s="40"/>
      <c r="D41" s="40"/>
      <c r="F41" s="381" t="s">
        <v>562</v>
      </c>
      <c r="G41" s="370">
        <f t="shared" ref="G41" si="92">G6+G23</f>
        <v>2668392.3766666669</v>
      </c>
      <c r="H41" s="439">
        <f t="shared" ref="H41:N41" si="93">H6+H23</f>
        <v>1463942.6016666666</v>
      </c>
      <c r="I41" s="695">
        <f>I6+I23</f>
        <v>1358845.71</v>
      </c>
      <c r="J41" s="695">
        <f>J6+J23</f>
        <v>914185.30000000016</v>
      </c>
      <c r="K41" s="695">
        <f>K6+K23</f>
        <v>1779259.9833112673</v>
      </c>
      <c r="L41" s="695">
        <f>L6+L23</f>
        <v>1232916.4833112673</v>
      </c>
      <c r="M41" s="368">
        <f>M6+M23</f>
        <v>846505.15</v>
      </c>
      <c r="N41" s="369">
        <f t="shared" si="93"/>
        <v>1012201.2869525388</v>
      </c>
      <c r="O41" s="402"/>
      <c r="P41" s="194"/>
      <c r="Q41" s="403"/>
      <c r="R41" s="381" t="s">
        <v>562</v>
      </c>
      <c r="S41" s="370">
        <f t="shared" ref="S41" si="94">S6+S23</f>
        <v>263903.56000000006</v>
      </c>
      <c r="T41" s="449">
        <f t="shared" ref="T41:Z41" si="95">T6+T23</f>
        <v>726921.39999999991</v>
      </c>
      <c r="U41" s="695">
        <f>U6+U23</f>
        <v>843839.64</v>
      </c>
      <c r="V41" s="695">
        <f>V6+V23</f>
        <v>1216082.56</v>
      </c>
      <c r="W41" s="695">
        <f>W6+W23</f>
        <v>1480151.6714999978</v>
      </c>
      <c r="X41" s="695">
        <f>X6+X23</f>
        <v>1067576.4514999981</v>
      </c>
      <c r="Y41" s="368">
        <f t="shared" si="95"/>
        <v>1033696.1792</v>
      </c>
      <c r="Z41" s="369">
        <f t="shared" si="95"/>
        <v>1063562.3768113612</v>
      </c>
      <c r="AA41" s="406"/>
      <c r="AD41"/>
      <c r="AE41" s="381" t="s">
        <v>562</v>
      </c>
      <c r="AF41" s="370">
        <f t="shared" ref="AF41" si="96">AF6+AF23</f>
        <v>238264.57</v>
      </c>
      <c r="AG41" s="449">
        <f t="shared" ref="AG41:AM41" si="97">AG6+AG23</f>
        <v>1281465.9950000001</v>
      </c>
      <c r="AH41" s="695">
        <f>AH6+AH23</f>
        <v>1248684.3700000001</v>
      </c>
      <c r="AI41" s="695">
        <f>AI6+AI23</f>
        <v>1438786.02</v>
      </c>
      <c r="AJ41" s="695">
        <f>AJ6+AJ23</f>
        <v>1722385.460396667</v>
      </c>
      <c r="AK41" s="695">
        <f>AK6+AK23</f>
        <v>1509074.240396667</v>
      </c>
      <c r="AL41" s="368">
        <f t="shared" si="97"/>
        <v>1460777.5829890165</v>
      </c>
      <c r="AM41" s="369">
        <f t="shared" si="97"/>
        <v>1422700.7586174787</v>
      </c>
      <c r="AN41" s="399"/>
      <c r="AQ41"/>
      <c r="AR41" s="675" t="s">
        <v>562</v>
      </c>
      <c r="AS41" s="439">
        <f t="shared" ref="AS41" si="98">AS6+AS23</f>
        <v>0</v>
      </c>
      <c r="AT41" s="439">
        <f t="shared" ref="AT41:AX41" si="99">AT6+AT23</f>
        <v>627878</v>
      </c>
      <c r="AU41" s="695">
        <f>AU6+AU23</f>
        <v>0</v>
      </c>
      <c r="AV41" s="695">
        <f>AV6+AV23</f>
        <v>0</v>
      </c>
      <c r="AW41" s="695">
        <f>AW6+AW23</f>
        <v>0</v>
      </c>
      <c r="AX41" s="368">
        <f t="shared" si="99"/>
        <v>0</v>
      </c>
      <c r="AY41" s="369">
        <f t="shared" ref="AY41" si="100">AY6+AY23</f>
        <v>974514.05352238682</v>
      </c>
      <c r="AZ41" s="399"/>
      <c r="BD41" s="381" t="s">
        <v>562</v>
      </c>
      <c r="BE41" s="370">
        <f t="shared" ref="BE41" si="101">BE6+BE23</f>
        <v>849566.36999999988</v>
      </c>
      <c r="BF41" s="449">
        <f t="shared" ref="BF41:BL41" si="102">BF6+BF23</f>
        <v>0</v>
      </c>
      <c r="BG41" s="695">
        <f>BG6+BG23</f>
        <v>0</v>
      </c>
      <c r="BH41" s="695">
        <f>BH6+BH23</f>
        <v>1839948.1</v>
      </c>
      <c r="BI41" s="695">
        <f>BI6+BI23</f>
        <v>1819893.3721166668</v>
      </c>
      <c r="BJ41" s="695">
        <f>BJ6+BJ23</f>
        <v>1288310.4021166665</v>
      </c>
      <c r="BK41" s="368">
        <f t="shared" si="102"/>
        <v>1048271.1199999999</v>
      </c>
      <c r="BL41" s="369">
        <f t="shared" si="102"/>
        <v>1110058.7314902651</v>
      </c>
      <c r="BO41"/>
      <c r="BP41" s="381" t="s">
        <v>562</v>
      </c>
      <c r="BQ41" s="370">
        <f t="shared" ref="BQ41:BX41" si="103">BQ6+BQ23</f>
        <v>4020126.8766666669</v>
      </c>
      <c r="BR41" s="439">
        <f t="shared" si="103"/>
        <v>4100207.9966666666</v>
      </c>
      <c r="BS41" s="695">
        <f t="shared" si="103"/>
        <v>3451369.7199999997</v>
      </c>
      <c r="BT41" s="695">
        <f t="shared" si="103"/>
        <v>5409001.9800000004</v>
      </c>
      <c r="BU41" s="695">
        <f t="shared" si="103"/>
        <v>6801690.4873245982</v>
      </c>
      <c r="BV41" s="695">
        <f>BV6+BV23</f>
        <v>5097877.577324599</v>
      </c>
      <c r="BW41" s="368">
        <f t="shared" si="103"/>
        <v>4389250.0321890172</v>
      </c>
      <c r="BX41" s="369">
        <f t="shared" si="103"/>
        <v>5583037.2073940299</v>
      </c>
      <c r="BY41" s="399"/>
      <c r="BZ41" s="402"/>
      <c r="CA41" s="194"/>
    </row>
    <row r="42" spans="2:80">
      <c r="B42" s="40"/>
      <c r="C42" s="40"/>
      <c r="D42" s="40"/>
      <c r="F42" s="679" t="s">
        <v>564</v>
      </c>
      <c r="G42" s="681">
        <f t="shared" ref="G42:N42" si="104">G23/G41</f>
        <v>0.81037188804840343</v>
      </c>
      <c r="H42" s="682">
        <f t="shared" si="104"/>
        <v>0.60946893044227624</v>
      </c>
      <c r="I42" s="683">
        <f t="shared" si="104"/>
        <v>0.61238737693038015</v>
      </c>
      <c r="J42" s="683">
        <f t="shared" si="104"/>
        <v>0.7010822532368437</v>
      </c>
      <c r="K42" s="683">
        <f t="shared" si="104"/>
        <v>0.67216659786518473</v>
      </c>
      <c r="L42" s="683">
        <f t="shared" ref="L42" si="105">L23/L41</f>
        <v>0.52689345831058632</v>
      </c>
      <c r="M42" s="683">
        <f t="shared" si="104"/>
        <v>0.61164253991839279</v>
      </c>
      <c r="N42" s="684">
        <f t="shared" si="104"/>
        <v>0.4149372317679077</v>
      </c>
      <c r="O42" s="402"/>
      <c r="P42" s="194"/>
      <c r="Q42" s="403"/>
      <c r="R42" s="679" t="s">
        <v>564</v>
      </c>
      <c r="S42" s="681">
        <f t="shared" ref="S42:Z42" si="106">S23/S41</f>
        <v>0.63826732765560268</v>
      </c>
      <c r="T42" s="682">
        <f t="shared" si="106"/>
        <v>0.44628427502615825</v>
      </c>
      <c r="U42" s="683">
        <f t="shared" si="106"/>
        <v>0.49717195082231502</v>
      </c>
      <c r="V42" s="683">
        <f t="shared" si="106"/>
        <v>0.52308895869701477</v>
      </c>
      <c r="W42" s="683">
        <f t="shared" si="106"/>
        <v>0.65188829956561156</v>
      </c>
      <c r="X42" s="683">
        <f t="shared" si="106"/>
        <v>0.51735717424011796</v>
      </c>
      <c r="Y42" s="683">
        <f t="shared" si="106"/>
        <v>0.50803158584413588</v>
      </c>
      <c r="Z42" s="684">
        <f t="shared" si="106"/>
        <v>0.31027799327517064</v>
      </c>
      <c r="AA42" s="406"/>
      <c r="AD42"/>
      <c r="AE42" s="679" t="s">
        <v>564</v>
      </c>
      <c r="AF42" s="681">
        <f t="shared" ref="AF42:AM42" si="107">AF23/AF41</f>
        <v>0.35552692538382857</v>
      </c>
      <c r="AG42" s="682">
        <f t="shared" si="107"/>
        <v>0.30197750975046356</v>
      </c>
      <c r="AH42" s="683">
        <f t="shared" si="107"/>
        <v>0.43397450390125397</v>
      </c>
      <c r="AI42" s="683">
        <f t="shared" si="107"/>
        <v>0.55447103246110219</v>
      </c>
      <c r="AJ42" s="683">
        <f t="shared" si="107"/>
        <v>0.53077088812016615</v>
      </c>
      <c r="AK42" s="683">
        <f t="shared" si="107"/>
        <v>0.46444424120298444</v>
      </c>
      <c r="AL42" s="683">
        <f t="shared" si="107"/>
        <v>0.40936230809718882</v>
      </c>
      <c r="AM42" s="684">
        <f t="shared" si="107"/>
        <v>0.23406186999126613</v>
      </c>
      <c r="AN42" s="398"/>
      <c r="AQ42" s="685"/>
      <c r="AR42" s="680" t="s">
        <v>564</v>
      </c>
      <c r="AS42" s="682" t="e">
        <f t="shared" ref="AS42:AY42" si="108">AS23/AS41</f>
        <v>#DIV/0!</v>
      </c>
      <c r="AT42" s="682">
        <f t="shared" si="108"/>
        <v>0.73146057036558054</v>
      </c>
      <c r="AU42" s="683" t="e">
        <f t="shared" si="108"/>
        <v>#DIV/0!</v>
      </c>
      <c r="AV42" s="683" t="e">
        <f t="shared" si="108"/>
        <v>#DIV/0!</v>
      </c>
      <c r="AW42" s="683" t="e">
        <f t="shared" si="108"/>
        <v>#DIV/0!</v>
      </c>
      <c r="AX42" s="683" t="e">
        <f t="shared" si="108"/>
        <v>#DIV/0!</v>
      </c>
      <c r="AY42" s="684">
        <f t="shared" si="108"/>
        <v>0.36941488806526479</v>
      </c>
      <c r="AZ42" s="399"/>
      <c r="BD42" s="680" t="s">
        <v>564</v>
      </c>
      <c r="BE42" s="681">
        <f t="shared" ref="BE42:BL42" si="109">BE23/BE41</f>
        <v>0.49572223533283216</v>
      </c>
      <c r="BF42" s="682" t="e">
        <f t="shared" si="109"/>
        <v>#DIV/0!</v>
      </c>
      <c r="BG42" s="683" t="e">
        <f t="shared" si="109"/>
        <v>#DIV/0!</v>
      </c>
      <c r="BH42" s="683">
        <f t="shared" si="109"/>
        <v>0.66700404212488384</v>
      </c>
      <c r="BI42" s="683">
        <f t="shared" si="109"/>
        <v>0.68677009535252964</v>
      </c>
      <c r="BJ42" s="683">
        <f t="shared" ref="BJ42" si="110">BJ23/BJ41</f>
        <v>0.55752509140646944</v>
      </c>
      <c r="BK42" s="683">
        <f t="shared" si="109"/>
        <v>0.52177431922382822</v>
      </c>
      <c r="BL42" s="684">
        <f t="shared" si="109"/>
        <v>0.53510682196296855</v>
      </c>
      <c r="BO42"/>
      <c r="BP42" s="679" t="s">
        <v>564</v>
      </c>
      <c r="BQ42" s="681">
        <f t="shared" ref="BQ42:BX42" si="111">BQ23/BQ41</f>
        <v>0.70562190830290572</v>
      </c>
      <c r="BR42" s="682">
        <f t="shared" si="111"/>
        <v>0.50311667928644654</v>
      </c>
      <c r="BS42" s="683">
        <f t="shared" si="111"/>
        <v>0.51966919962431612</v>
      </c>
      <c r="BT42" s="683">
        <f t="shared" si="111"/>
        <v>0.61047425240543174</v>
      </c>
      <c r="BU42" s="683">
        <f t="shared" si="111"/>
        <v>0.63585561548163005</v>
      </c>
      <c r="BV42" s="683">
        <f t="shared" si="111"/>
        <v>0.514151260279752</v>
      </c>
      <c r="BW42" s="683">
        <f t="shared" si="111"/>
        <v>0.4984580705460252</v>
      </c>
      <c r="BX42" s="684">
        <f t="shared" si="111"/>
        <v>0.3648551718950126</v>
      </c>
      <c r="BY42" s="399"/>
      <c r="BZ42" s="402"/>
      <c r="CA42" s="194"/>
      <c r="CB42" s="685"/>
    </row>
    <row r="43" spans="2:80">
      <c r="B43" s="40"/>
      <c r="C43" s="40"/>
      <c r="D43" s="40"/>
      <c r="F43" s="382" t="s">
        <v>26</v>
      </c>
      <c r="G43" s="354">
        <f t="shared" ref="G43" si="112">G7+G24</f>
        <v>309672</v>
      </c>
      <c r="H43" s="440">
        <f t="shared" ref="H43:N43" si="113">H7+H24</f>
        <v>153114</v>
      </c>
      <c r="I43" s="360">
        <f>I7+I24</f>
        <v>134060</v>
      </c>
      <c r="J43" s="360">
        <f>J7+J24</f>
        <v>82412</v>
      </c>
      <c r="K43" s="360">
        <f>K7+K24</f>
        <v>180488.90393825859</v>
      </c>
      <c r="L43" s="360">
        <f>L7+L24</f>
        <v>109616.58137009793</v>
      </c>
      <c r="M43" s="360">
        <f t="shared" si="113"/>
        <v>71899</v>
      </c>
      <c r="N43" s="348">
        <f t="shared" si="113"/>
        <v>80706.153310345195</v>
      </c>
      <c r="O43" s="402"/>
      <c r="P43" s="194"/>
      <c r="Q43" s="403"/>
      <c r="R43" s="382" t="s">
        <v>26</v>
      </c>
      <c r="S43" s="354">
        <f>S7+S24</f>
        <v>18908</v>
      </c>
      <c r="T43" s="450">
        <f t="shared" ref="T43:Y43" si="114">T7+T24</f>
        <v>53077</v>
      </c>
      <c r="U43" s="360">
        <f>U7+U24</f>
        <v>51062</v>
      </c>
      <c r="V43" s="360">
        <f>V7+V24</f>
        <v>82607</v>
      </c>
      <c r="W43" s="360">
        <f>W7+W24</f>
        <v>109763.492992449</v>
      </c>
      <c r="X43" s="360">
        <f>X7+X24</f>
        <v>68684.308555057345</v>
      </c>
      <c r="Y43" s="360">
        <f t="shared" si="114"/>
        <v>42780</v>
      </c>
      <c r="Z43" s="348">
        <f>Z7+Z24</f>
        <v>43516.86458063341</v>
      </c>
      <c r="AA43" s="406"/>
      <c r="AD43"/>
      <c r="AE43" s="382" t="s">
        <v>26</v>
      </c>
      <c r="AF43" s="354">
        <f>AF7+AF24</f>
        <v>12122</v>
      </c>
      <c r="AG43" s="450">
        <f t="shared" ref="AG43:AM43" si="115">AG7+AG24</f>
        <v>67678</v>
      </c>
      <c r="AH43" s="360">
        <f>AH7+AH24</f>
        <v>65063</v>
      </c>
      <c r="AI43" s="360">
        <f>AI7+AI24</f>
        <v>105540</v>
      </c>
      <c r="AJ43" s="360">
        <f>AJ7+AJ24</f>
        <v>118569.89093631336</v>
      </c>
      <c r="AK43" s="360">
        <f>AK7+AK24</f>
        <v>95801.191469316313</v>
      </c>
      <c r="AL43" s="360">
        <f t="shared" si="115"/>
        <v>69240</v>
      </c>
      <c r="AM43" s="348">
        <f t="shared" si="115"/>
        <v>63794.678089524947</v>
      </c>
      <c r="AN43" s="399"/>
      <c r="AQ43"/>
      <c r="AR43" s="676" t="s">
        <v>26</v>
      </c>
      <c r="AS43" s="440">
        <f>AS7+AS24</f>
        <v>0</v>
      </c>
      <c r="AT43" s="440">
        <f t="shared" ref="AT43:AX43" si="116">AT7+AT24</f>
        <v>82262</v>
      </c>
      <c r="AU43" s="360">
        <f>AU7+AU24</f>
        <v>0</v>
      </c>
      <c r="AV43" s="360">
        <f>AV7+AV24</f>
        <v>0</v>
      </c>
      <c r="AW43" s="360">
        <f>AW7+AW24</f>
        <v>0</v>
      </c>
      <c r="AX43" s="360">
        <f t="shared" si="116"/>
        <v>0</v>
      </c>
      <c r="AY43" s="348">
        <f t="shared" ref="AY43" si="117">AY7+AY24</f>
        <v>107430.01909231837</v>
      </c>
      <c r="AZ43" s="399"/>
      <c r="BD43" s="382" t="s">
        <v>26</v>
      </c>
      <c r="BE43" s="354">
        <f>BE7+BE24</f>
        <v>91482</v>
      </c>
      <c r="BF43" s="450">
        <f t="shared" ref="BF43:BL43" si="118">BF7+BF24</f>
        <v>0</v>
      </c>
      <c r="BG43" s="360">
        <f>BG7+BG24</f>
        <v>0</v>
      </c>
      <c r="BH43" s="360">
        <f>BH7+BH24</f>
        <v>194135</v>
      </c>
      <c r="BI43" s="360">
        <f>BI7+BI24</f>
        <v>197871.23859641407</v>
      </c>
      <c r="BJ43" s="360">
        <f>BJ7+BJ24</f>
        <v>124286.3313126212</v>
      </c>
      <c r="BK43" s="360">
        <f t="shared" si="118"/>
        <v>89583</v>
      </c>
      <c r="BL43" s="348">
        <f t="shared" si="118"/>
        <v>99055.23667718393</v>
      </c>
      <c r="BO43"/>
      <c r="BP43" s="382" t="s">
        <v>26</v>
      </c>
      <c r="BQ43" s="354">
        <f t="shared" ref="BQ43:BX43" si="119">BQ7+BQ24</f>
        <v>432184</v>
      </c>
      <c r="BR43" s="440">
        <f t="shared" si="119"/>
        <v>356131</v>
      </c>
      <c r="BS43" s="360">
        <f t="shared" si="119"/>
        <v>250185</v>
      </c>
      <c r="BT43" s="360">
        <f t="shared" si="119"/>
        <v>464694</v>
      </c>
      <c r="BU43" s="360">
        <f t="shared" si="119"/>
        <v>606693.52646343503</v>
      </c>
      <c r="BV43" s="360">
        <f>BV7+BV24</f>
        <v>398388.41270709276</v>
      </c>
      <c r="BW43" s="360">
        <f t="shared" si="119"/>
        <v>273502</v>
      </c>
      <c r="BX43" s="348">
        <f t="shared" si="119"/>
        <v>394502.95175000583</v>
      </c>
      <c r="BY43" s="399"/>
      <c r="BZ43" s="402"/>
      <c r="CA43" s="194"/>
    </row>
    <row r="44" spans="2:80">
      <c r="B44" s="40"/>
      <c r="C44" s="40"/>
      <c r="D44" s="40"/>
      <c r="F44" s="382" t="s">
        <v>48</v>
      </c>
      <c r="G44" s="355">
        <f t="shared" ref="G44:N44" si="120">G41/G43</f>
        <v>8.6168345109233861</v>
      </c>
      <c r="H44" s="441">
        <f t="shared" si="120"/>
        <v>9.5611283205106421</v>
      </c>
      <c r="I44" s="673">
        <f t="shared" si="120"/>
        <v>10.136101074145904</v>
      </c>
      <c r="J44" s="673">
        <f t="shared" si="120"/>
        <v>11.092866330146098</v>
      </c>
      <c r="K44" s="673">
        <f t="shared" si="120"/>
        <v>9.8580020405016935</v>
      </c>
      <c r="L44" s="673">
        <f t="shared" ref="L44" si="121">L41/L43</f>
        <v>11.247536348069252</v>
      </c>
      <c r="M44" s="361">
        <f t="shared" si="120"/>
        <v>11.773531620745768</v>
      </c>
      <c r="N44" s="716">
        <f t="shared" si="120"/>
        <v>12.541810573727236</v>
      </c>
      <c r="O44" s="402"/>
      <c r="P44" s="194"/>
      <c r="Q44" s="403"/>
      <c r="R44" s="382" t="s">
        <v>48</v>
      </c>
      <c r="S44" s="355">
        <f t="shared" ref="S44:Z44" si="122">S41/S43</f>
        <v>13.957243494817012</v>
      </c>
      <c r="T44" s="451">
        <f t="shared" si="122"/>
        <v>13.695600731013432</v>
      </c>
      <c r="U44" s="673">
        <f t="shared" si="122"/>
        <v>16.525785123966941</v>
      </c>
      <c r="V44" s="673">
        <f t="shared" si="122"/>
        <v>14.721301584611474</v>
      </c>
      <c r="W44" s="673">
        <f t="shared" si="122"/>
        <v>13.484917718515231</v>
      </c>
      <c r="X44" s="673">
        <f t="shared" si="122"/>
        <v>15.543236496939162</v>
      </c>
      <c r="Y44" s="361">
        <f t="shared" si="122"/>
        <v>24.163071042543244</v>
      </c>
      <c r="Z44" s="349">
        <f t="shared" si="122"/>
        <v>24.440234540350712</v>
      </c>
      <c r="AA44" s="406"/>
      <c r="AD44"/>
      <c r="AE44" s="382" t="s">
        <v>48</v>
      </c>
      <c r="AF44" s="355">
        <f t="shared" ref="AF44:AM44" si="123">AF41/AF43</f>
        <v>19.655549414288071</v>
      </c>
      <c r="AG44" s="451">
        <f t="shared" si="123"/>
        <v>18.934749770974321</v>
      </c>
      <c r="AH44" s="673">
        <f t="shared" si="123"/>
        <v>19.19192736270999</v>
      </c>
      <c r="AI44" s="673">
        <f t="shared" si="123"/>
        <v>13.632613416714042</v>
      </c>
      <c r="AJ44" s="673">
        <f t="shared" si="123"/>
        <v>14.526330814639952</v>
      </c>
      <c r="AK44" s="673">
        <f t="shared" si="123"/>
        <v>15.752144803752268</v>
      </c>
      <c r="AL44" s="361">
        <f t="shared" si="123"/>
        <v>21.097307668818839</v>
      </c>
      <c r="AM44" s="349">
        <f t="shared" si="123"/>
        <v>22.301245201378098</v>
      </c>
      <c r="AN44" s="398"/>
      <c r="AQ44"/>
      <c r="AR44" s="676" t="s">
        <v>48</v>
      </c>
      <c r="AS44" s="441" t="e">
        <f t="shared" ref="AS44:AY44" si="124">AS41/AS43</f>
        <v>#DIV/0!</v>
      </c>
      <c r="AT44" s="441">
        <f t="shared" si="124"/>
        <v>7.6326614961950838</v>
      </c>
      <c r="AU44" s="673" t="e">
        <f t="shared" si="124"/>
        <v>#DIV/0!</v>
      </c>
      <c r="AV44" s="673" t="e">
        <f t="shared" si="124"/>
        <v>#DIV/0!</v>
      </c>
      <c r="AW44" s="673" t="e">
        <f t="shared" si="124"/>
        <v>#DIV/0!</v>
      </c>
      <c r="AX44" s="361" t="e">
        <f t="shared" si="124"/>
        <v>#DIV/0!</v>
      </c>
      <c r="AY44" s="349">
        <f t="shared" si="124"/>
        <v>9.0711521952253662</v>
      </c>
      <c r="AZ44" s="399"/>
      <c r="BD44" s="382" t="s">
        <v>48</v>
      </c>
      <c r="BE44" s="355">
        <f t="shared" ref="BE44:BL44" si="125">BE41/BE43</f>
        <v>9.2867052534924888</v>
      </c>
      <c r="BF44" s="451" t="e">
        <f t="shared" si="125"/>
        <v>#DIV/0!</v>
      </c>
      <c r="BG44" s="673" t="e">
        <f t="shared" si="125"/>
        <v>#DIV/0!</v>
      </c>
      <c r="BH44" s="673">
        <f t="shared" si="125"/>
        <v>9.4776732686017464</v>
      </c>
      <c r="BI44" s="673">
        <f t="shared" si="125"/>
        <v>9.1973618047067092</v>
      </c>
      <c r="BJ44" s="673">
        <f t="shared" ref="BJ44" si="126">BJ41/BJ43</f>
        <v>10.3656644178847</v>
      </c>
      <c r="BK44" s="361">
        <f t="shared" si="125"/>
        <v>11.701674648091712</v>
      </c>
      <c r="BL44" s="349">
        <f t="shared" si="125"/>
        <v>11.206461856306406</v>
      </c>
      <c r="BO44"/>
      <c r="BP44" s="382" t="s">
        <v>48</v>
      </c>
      <c r="BQ44" s="355">
        <f t="shared" ref="BQ44:BX44" si="127">BQ41/BQ43</f>
        <v>9.3018873365665247</v>
      </c>
      <c r="BR44" s="441">
        <f t="shared" si="127"/>
        <v>11.513201593421147</v>
      </c>
      <c r="BS44" s="673">
        <f t="shared" si="127"/>
        <v>13.795270379918859</v>
      </c>
      <c r="BT44" s="673">
        <f t="shared" si="127"/>
        <v>11.639922142313006</v>
      </c>
      <c r="BU44" s="673">
        <f t="shared" si="127"/>
        <v>11.211081362567548</v>
      </c>
      <c r="BV44" s="673">
        <f t="shared" si="127"/>
        <v>12.796249626549036</v>
      </c>
      <c r="BW44" s="361">
        <f t="shared" si="127"/>
        <v>16.048328831924508</v>
      </c>
      <c r="BX44" s="349">
        <f t="shared" si="127"/>
        <v>14.152079680589988</v>
      </c>
      <c r="BY44" s="399"/>
      <c r="BZ44" s="402"/>
      <c r="CA44" s="194"/>
    </row>
    <row r="45" spans="2:80">
      <c r="B45" s="40"/>
      <c r="C45" s="40"/>
      <c r="D45" s="40"/>
      <c r="F45" s="383" t="s">
        <v>103</v>
      </c>
      <c r="G45" s="446">
        <f t="shared" ref="G45:N45" si="128">(G43-G46)/G43</f>
        <v>0.3129956857578341</v>
      </c>
      <c r="H45" s="442">
        <f t="shared" si="128"/>
        <v>0.31844246770380241</v>
      </c>
      <c r="I45" s="362">
        <f t="shared" si="128"/>
        <v>0.45448306728330601</v>
      </c>
      <c r="J45" s="362">
        <f t="shared" si="128"/>
        <v>0.3596563607241664</v>
      </c>
      <c r="K45" s="362">
        <f t="shared" si="128"/>
        <v>0.3013250812721342</v>
      </c>
      <c r="L45" s="362">
        <f t="shared" ref="L45" si="129">(L43-L46)/L43</f>
        <v>0.27103700185223251</v>
      </c>
      <c r="M45" s="365">
        <f t="shared" si="128"/>
        <v>0.39099292062476532</v>
      </c>
      <c r="N45" s="350">
        <f t="shared" si="128"/>
        <v>0.32176871732922369</v>
      </c>
      <c r="O45" s="402"/>
      <c r="P45" s="194"/>
      <c r="Q45" s="403"/>
      <c r="R45" s="383" t="s">
        <v>103</v>
      </c>
      <c r="S45" s="446">
        <f t="shared" ref="S45:Z45" si="130">(S43-S46)/S43</f>
        <v>0.20345885339538819</v>
      </c>
      <c r="T45" s="452">
        <f t="shared" si="130"/>
        <v>0.17847655293253198</v>
      </c>
      <c r="U45" s="362">
        <f t="shared" si="130"/>
        <v>0.31242411186400848</v>
      </c>
      <c r="V45" s="362">
        <f t="shared" si="130"/>
        <v>0.36797123730434467</v>
      </c>
      <c r="W45" s="362">
        <f t="shared" si="130"/>
        <v>0.33161743006364469</v>
      </c>
      <c r="X45" s="362">
        <f t="shared" si="130"/>
        <v>0.3026804493211312</v>
      </c>
      <c r="Y45" s="365">
        <f t="shared" si="130"/>
        <v>0.30904628330995793</v>
      </c>
      <c r="Z45" s="350">
        <f t="shared" si="130"/>
        <v>0.18189529860114675</v>
      </c>
      <c r="AA45" s="406"/>
      <c r="AD45"/>
      <c r="AE45" s="383" t="s">
        <v>103</v>
      </c>
      <c r="AF45" s="446">
        <f t="shared" ref="AF45:AM45" si="131">(AF43-AF46)/AF43</f>
        <v>0.18322059066160701</v>
      </c>
      <c r="AG45" s="452">
        <f t="shared" si="131"/>
        <v>0.13793256301900175</v>
      </c>
      <c r="AH45" s="362">
        <f t="shared" si="131"/>
        <v>0.30239921307040868</v>
      </c>
      <c r="AI45" s="362">
        <f t="shared" si="131"/>
        <v>0.23037710820541973</v>
      </c>
      <c r="AJ45" s="362">
        <f t="shared" si="131"/>
        <v>0.25682514869683148</v>
      </c>
      <c r="AK45" s="362">
        <f t="shared" si="131"/>
        <v>0.24074183209367511</v>
      </c>
      <c r="AL45" s="365">
        <f t="shared" si="131"/>
        <v>0.25239745811669556</v>
      </c>
      <c r="AM45" s="350">
        <f t="shared" si="131"/>
        <v>0.18936074346130899</v>
      </c>
      <c r="AN45" s="399"/>
      <c r="AQ45"/>
      <c r="AR45" s="677" t="s">
        <v>103</v>
      </c>
      <c r="AS45" s="667" t="e">
        <f t="shared" ref="AS45:AY45" si="132">(AS43-AS46)/AS43</f>
        <v>#DIV/0!</v>
      </c>
      <c r="AT45" s="442">
        <f t="shared" si="132"/>
        <v>0.31876200432763607</v>
      </c>
      <c r="AU45" s="362" t="e">
        <f t="shared" si="132"/>
        <v>#DIV/0!</v>
      </c>
      <c r="AV45" s="362" t="e">
        <f t="shared" si="132"/>
        <v>#DIV/0!</v>
      </c>
      <c r="AW45" s="362" t="e">
        <f t="shared" si="132"/>
        <v>#DIV/0!</v>
      </c>
      <c r="AX45" s="365" t="e">
        <f t="shared" si="132"/>
        <v>#DIV/0!</v>
      </c>
      <c r="AY45" s="350">
        <f t="shared" si="132"/>
        <v>0.22973298545015233</v>
      </c>
      <c r="AZ45" s="399"/>
      <c r="BD45" s="383" t="s">
        <v>103</v>
      </c>
      <c r="BE45" s="446">
        <f t="shared" ref="BE45:BL45" si="133">(BE43-BE46)/BE43</f>
        <v>0.25947180866181324</v>
      </c>
      <c r="BF45" s="452" t="e">
        <f t="shared" si="133"/>
        <v>#DIV/0!</v>
      </c>
      <c r="BG45" s="362" t="e">
        <f t="shared" si="133"/>
        <v>#DIV/0!</v>
      </c>
      <c r="BH45" s="362">
        <f t="shared" si="133"/>
        <v>0.32792129188451336</v>
      </c>
      <c r="BI45" s="362">
        <f t="shared" si="133"/>
        <v>0.3638423153225564</v>
      </c>
      <c r="BJ45" s="362">
        <f t="shared" ref="BJ45" si="134">(BJ43-BJ46)/BJ43</f>
        <v>0.33846200569039758</v>
      </c>
      <c r="BK45" s="365">
        <f t="shared" si="133"/>
        <v>0.3763214002656754</v>
      </c>
      <c r="BL45" s="350">
        <f t="shared" si="133"/>
        <v>0.38511402882940693</v>
      </c>
      <c r="BO45"/>
      <c r="BP45" s="383" t="s">
        <v>103</v>
      </c>
      <c r="BQ45" s="356">
        <f t="shared" ref="BQ45:BX45" si="135">(BQ43-BQ46)/BQ43</f>
        <v>0.29323390037576585</v>
      </c>
      <c r="BR45" s="442">
        <f t="shared" si="135"/>
        <v>0.26335253038909839</v>
      </c>
      <c r="BS45" s="362">
        <f t="shared" si="135"/>
        <v>0.38593840557987091</v>
      </c>
      <c r="BT45" s="362">
        <f t="shared" si="135"/>
        <v>0.31851497975011511</v>
      </c>
      <c r="BU45" s="362">
        <f t="shared" si="135"/>
        <v>0.31849850400187507</v>
      </c>
      <c r="BV45" s="362">
        <f t="shared" si="135"/>
        <v>0.29024213200363291</v>
      </c>
      <c r="BW45" s="365">
        <f t="shared" si="135"/>
        <v>0.33828271822509526</v>
      </c>
      <c r="BX45" s="350">
        <f t="shared" si="135"/>
        <v>0.27577034844499626</v>
      </c>
      <c r="BY45" s="399"/>
      <c r="BZ45" s="402"/>
      <c r="CA45" s="194"/>
    </row>
    <row r="46" spans="2:80">
      <c r="B46" s="40"/>
      <c r="C46" s="40"/>
      <c r="D46" s="40"/>
      <c r="F46" s="382" t="s">
        <v>28</v>
      </c>
      <c r="G46" s="354">
        <f t="shared" ref="G46:N46" si="136">G10+G27</f>
        <v>212746</v>
      </c>
      <c r="H46" s="440">
        <f t="shared" si="136"/>
        <v>104356</v>
      </c>
      <c r="I46" s="360">
        <f t="shared" si="136"/>
        <v>73132</v>
      </c>
      <c r="J46" s="360">
        <f t="shared" si="136"/>
        <v>52772</v>
      </c>
      <c r="K46" s="360">
        <f t="shared" si="136"/>
        <v>126103.0702903444</v>
      </c>
      <c r="L46" s="360">
        <f t="shared" ref="L46" si="137">L10+L27</f>
        <v>79906.431802255305</v>
      </c>
      <c r="M46" s="360">
        <f t="shared" si="136"/>
        <v>43787</v>
      </c>
      <c r="N46" s="348">
        <f t="shared" si="136"/>
        <v>54737.437879099743</v>
      </c>
      <c r="O46" s="402"/>
      <c r="P46" s="194"/>
      <c r="Q46" s="403"/>
      <c r="R46" s="382" t="s">
        <v>28</v>
      </c>
      <c r="S46" s="354">
        <f t="shared" ref="S46:Z46" si="138">S10+S27</f>
        <v>15061</v>
      </c>
      <c r="T46" s="450">
        <f t="shared" si="138"/>
        <v>43604</v>
      </c>
      <c r="U46" s="360">
        <f t="shared" si="138"/>
        <v>35109</v>
      </c>
      <c r="V46" s="360">
        <f t="shared" si="138"/>
        <v>52210</v>
      </c>
      <c r="W46" s="360">
        <f t="shared" si="138"/>
        <v>73364.005531484188</v>
      </c>
      <c r="X46" s="360">
        <f t="shared" si="138"/>
        <v>47894.911180301373</v>
      </c>
      <c r="Y46" s="360">
        <f t="shared" si="138"/>
        <v>29559</v>
      </c>
      <c r="Z46" s="348">
        <f t="shared" si="138"/>
        <v>35601.351503553429</v>
      </c>
      <c r="AA46" s="406"/>
      <c r="AD46"/>
      <c r="AE46" s="382" t="s">
        <v>28</v>
      </c>
      <c r="AF46" s="354">
        <f t="shared" ref="AF46:AM46" si="139">AF10+AF27</f>
        <v>9901</v>
      </c>
      <c r="AG46" s="450">
        <f t="shared" si="139"/>
        <v>58343</v>
      </c>
      <c r="AH46" s="360">
        <f t="shared" si="139"/>
        <v>45388</v>
      </c>
      <c r="AI46" s="360">
        <f t="shared" si="139"/>
        <v>81226</v>
      </c>
      <c r="AJ46" s="360">
        <f t="shared" si="139"/>
        <v>88118.161065627588</v>
      </c>
      <c r="AK46" s="360">
        <f t="shared" si="139"/>
        <v>72737.837118236144</v>
      </c>
      <c r="AL46" s="360">
        <f t="shared" si="139"/>
        <v>51764</v>
      </c>
      <c r="AM46" s="348">
        <f t="shared" si="139"/>
        <v>51714.470417617624</v>
      </c>
      <c r="AN46" s="398"/>
      <c r="AQ46"/>
      <c r="AR46" s="676" t="s">
        <v>28</v>
      </c>
      <c r="AS46" s="440">
        <f t="shared" ref="AS46:AY46" si="140">AS10+AS27</f>
        <v>0</v>
      </c>
      <c r="AT46" s="440">
        <f t="shared" si="140"/>
        <v>56040</v>
      </c>
      <c r="AU46" s="360">
        <f t="shared" si="140"/>
        <v>0</v>
      </c>
      <c r="AV46" s="360">
        <f t="shared" si="140"/>
        <v>0</v>
      </c>
      <c r="AW46" s="360">
        <f t="shared" si="140"/>
        <v>0</v>
      </c>
      <c r="AX46" s="360">
        <f t="shared" si="140"/>
        <v>0</v>
      </c>
      <c r="AY46" s="348">
        <f t="shared" si="140"/>
        <v>82749.800079273205</v>
      </c>
      <c r="AZ46" s="399"/>
      <c r="BD46" s="382" t="s">
        <v>28</v>
      </c>
      <c r="BE46" s="354">
        <f t="shared" ref="BE46:BL46" si="141">BE10+BE27</f>
        <v>67745</v>
      </c>
      <c r="BF46" s="450">
        <f t="shared" si="141"/>
        <v>0</v>
      </c>
      <c r="BG46" s="360">
        <f t="shared" si="141"/>
        <v>0</v>
      </c>
      <c r="BH46" s="360">
        <f t="shared" si="141"/>
        <v>130474</v>
      </c>
      <c r="BI46" s="360">
        <f t="shared" si="141"/>
        <v>125877.30900975279</v>
      </c>
      <c r="BJ46" s="360">
        <f t="shared" ref="BJ46" si="142">BJ10+BJ27</f>
        <v>82220.130336650167</v>
      </c>
      <c r="BK46" s="360">
        <f t="shared" si="141"/>
        <v>55871</v>
      </c>
      <c r="BL46" s="348">
        <f t="shared" si="141"/>
        <v>60907.675403783192</v>
      </c>
      <c r="BO46"/>
      <c r="BP46" s="382" t="s">
        <v>28</v>
      </c>
      <c r="BQ46" s="354">
        <f t="shared" ref="BQ46:BX46" si="143">BQ10+BQ27</f>
        <v>305453</v>
      </c>
      <c r="BR46" s="440">
        <f t="shared" si="143"/>
        <v>262343</v>
      </c>
      <c r="BS46" s="360">
        <f t="shared" si="143"/>
        <v>153629</v>
      </c>
      <c r="BT46" s="360">
        <f t="shared" si="143"/>
        <v>316682</v>
      </c>
      <c r="BU46" s="360">
        <f t="shared" si="143"/>
        <v>413462.54589720897</v>
      </c>
      <c r="BV46" s="360">
        <f t="shared" si="143"/>
        <v>282759.31043744297</v>
      </c>
      <c r="BW46" s="360">
        <f t="shared" si="143"/>
        <v>180981</v>
      </c>
      <c r="BX46" s="348">
        <f t="shared" si="143"/>
        <v>285710.73528332717</v>
      </c>
      <c r="BY46" s="399"/>
      <c r="BZ46" s="402"/>
      <c r="CA46" s="194"/>
    </row>
    <row r="47" spans="2:80">
      <c r="B47" s="40"/>
      <c r="C47" s="40"/>
      <c r="D47" s="40"/>
      <c r="F47" s="382" t="s">
        <v>104</v>
      </c>
      <c r="G47" s="357">
        <f t="shared" ref="G47:N47" si="144">1-G48/G46</f>
        <v>0.38666754073997534</v>
      </c>
      <c r="H47" s="443">
        <f t="shared" si="144"/>
        <v>0.4776376120003093</v>
      </c>
      <c r="I47" s="363">
        <f t="shared" si="144"/>
        <v>0.55803205163266423</v>
      </c>
      <c r="J47" s="363">
        <f t="shared" si="144"/>
        <v>0.42452436898355184</v>
      </c>
      <c r="K47" s="363">
        <f t="shared" si="144"/>
        <v>0.33273356571430657</v>
      </c>
      <c r="L47" s="363">
        <f t="shared" ref="L47" si="145">1-L48/L46</f>
        <v>0.31280518927175804</v>
      </c>
      <c r="M47" s="363">
        <f t="shared" si="144"/>
        <v>0.33793134948729076</v>
      </c>
      <c r="N47" s="351">
        <f t="shared" si="144"/>
        <v>0.34311306731945213</v>
      </c>
      <c r="O47" s="402"/>
      <c r="P47" s="194"/>
      <c r="Q47" s="403"/>
      <c r="R47" s="382" t="s">
        <v>104</v>
      </c>
      <c r="S47" s="357">
        <f t="shared" ref="S47:Z47" si="146">1-S48/S46</f>
        <v>0.34459646105836272</v>
      </c>
      <c r="T47" s="453">
        <f t="shared" si="146"/>
        <v>0.42122836602202596</v>
      </c>
      <c r="U47" s="363">
        <f t="shared" si="146"/>
        <v>0.44857443960238119</v>
      </c>
      <c r="V47" s="363">
        <f t="shared" si="146"/>
        <v>0.53125837962076239</v>
      </c>
      <c r="W47" s="363">
        <f t="shared" si="146"/>
        <v>0.30093515294235329</v>
      </c>
      <c r="X47" s="363">
        <f t="shared" si="146"/>
        <v>0.28743568479949655</v>
      </c>
      <c r="Y47" s="363">
        <f t="shared" si="146"/>
        <v>0.27862918231333944</v>
      </c>
      <c r="Z47" s="351">
        <f t="shared" si="146"/>
        <v>0.28155546496439732</v>
      </c>
      <c r="AA47" s="406"/>
      <c r="AD47"/>
      <c r="AE47" s="382" t="s">
        <v>104</v>
      </c>
      <c r="AF47" s="357">
        <f t="shared" ref="AF47:AM47" si="147">1-AF48/AF46</f>
        <v>0.34177365922634073</v>
      </c>
      <c r="AG47" s="453">
        <f t="shared" si="147"/>
        <v>0.36787552577153604</v>
      </c>
      <c r="AH47" s="363">
        <f t="shared" si="147"/>
        <v>0.43586410504979289</v>
      </c>
      <c r="AI47" s="363">
        <f t="shared" si="147"/>
        <v>0.49529707236599119</v>
      </c>
      <c r="AJ47" s="363">
        <f t="shared" si="147"/>
        <v>0.29551102588466593</v>
      </c>
      <c r="AK47" s="363">
        <f t="shared" si="147"/>
        <v>0.28872721063051288</v>
      </c>
      <c r="AL47" s="363">
        <f t="shared" si="147"/>
        <v>0.26531952708446027</v>
      </c>
      <c r="AM47" s="351">
        <f t="shared" si="147"/>
        <v>0.26661032314631861</v>
      </c>
      <c r="AN47" s="399"/>
      <c r="AQ47"/>
      <c r="AR47" s="676" t="s">
        <v>104</v>
      </c>
      <c r="AS47" s="443" t="e">
        <f t="shared" ref="AS47:AY47" si="148">1-AS48/AS46</f>
        <v>#DIV/0!</v>
      </c>
      <c r="AT47" s="443">
        <f t="shared" si="148"/>
        <v>0.73410064239828698</v>
      </c>
      <c r="AU47" s="363" t="e">
        <f t="shared" si="148"/>
        <v>#DIV/0!</v>
      </c>
      <c r="AV47" s="363" t="e">
        <f t="shared" si="148"/>
        <v>#DIV/0!</v>
      </c>
      <c r="AW47" s="363" t="e">
        <f t="shared" si="148"/>
        <v>#DIV/0!</v>
      </c>
      <c r="AX47" s="363" t="e">
        <f t="shared" si="148"/>
        <v>#DIV/0!</v>
      </c>
      <c r="AY47" s="351">
        <f t="shared" si="148"/>
        <v>0.47228126621918487</v>
      </c>
      <c r="AZ47" s="399"/>
      <c r="BD47" s="382" t="s">
        <v>104</v>
      </c>
      <c r="BE47" s="357">
        <f t="shared" ref="BE47:BL47" si="149">1-BE48/BE46</f>
        <v>0.64637610016426716</v>
      </c>
      <c r="BF47" s="453" t="e">
        <f t="shared" si="149"/>
        <v>#DIV/0!</v>
      </c>
      <c r="BG47" s="363" t="e">
        <f t="shared" si="149"/>
        <v>#DIV/0!</v>
      </c>
      <c r="BH47" s="363">
        <f t="shared" si="149"/>
        <v>0.67098425739994183</v>
      </c>
      <c r="BI47" s="363">
        <f t="shared" si="149"/>
        <v>0.44634563652770665</v>
      </c>
      <c r="BJ47" s="363">
        <f t="shared" ref="BJ47" si="150">1-BJ48/BJ46</f>
        <v>0.43581224773466931</v>
      </c>
      <c r="BK47" s="363">
        <f t="shared" si="149"/>
        <v>0.46184961786973566</v>
      </c>
      <c r="BL47" s="351">
        <f t="shared" si="149"/>
        <v>0.45850108048131755</v>
      </c>
      <c r="BO47"/>
      <c r="BP47" s="382" t="s">
        <v>104</v>
      </c>
      <c r="BQ47" s="357">
        <f t="shared" ref="BQ47:BX47" si="151">1-BQ48/BQ46</f>
        <v>0.44073749423935948</v>
      </c>
      <c r="BR47" s="443">
        <f t="shared" si="151"/>
        <v>0.49863558055681845</v>
      </c>
      <c r="BS47" s="363">
        <f t="shared" si="151"/>
        <v>0.49692440880302546</v>
      </c>
      <c r="BT47" s="363">
        <f t="shared" si="151"/>
        <v>0.56181595417485042</v>
      </c>
      <c r="BU47" s="363">
        <f t="shared" si="151"/>
        <v>0.35374717659818644</v>
      </c>
      <c r="BV47" s="363">
        <f t="shared" si="151"/>
        <v>0.33808183220938903</v>
      </c>
      <c r="BW47" s="363">
        <f t="shared" si="151"/>
        <v>0.34573242495068546</v>
      </c>
      <c r="BX47" s="351">
        <f t="shared" si="151"/>
        <v>0.38360445990105874</v>
      </c>
      <c r="BY47" s="399"/>
      <c r="BZ47" s="402"/>
      <c r="CA47" s="194"/>
    </row>
    <row r="48" spans="2:80">
      <c r="B48" s="40"/>
      <c r="C48" s="40"/>
      <c r="D48" s="40"/>
      <c r="F48" s="382" t="s">
        <v>105</v>
      </c>
      <c r="G48" s="354">
        <f t="shared" ref="G48:N48" si="152">G12+G29</f>
        <v>130484.0273777332</v>
      </c>
      <c r="H48" s="440">
        <f t="shared" si="152"/>
        <v>54511.649362095719</v>
      </c>
      <c r="I48" s="360">
        <f t="shared" si="152"/>
        <v>32322</v>
      </c>
      <c r="J48" s="360">
        <f t="shared" si="152"/>
        <v>30369</v>
      </c>
      <c r="K48" s="360">
        <f t="shared" si="152"/>
        <v>84144.346065116275</v>
      </c>
      <c r="L48" s="360">
        <f t="shared" ref="L48" si="153">L12+L29</f>
        <v>54911.285278320007</v>
      </c>
      <c r="M48" s="360">
        <f t="shared" si="152"/>
        <v>28990</v>
      </c>
      <c r="N48" s="348">
        <f t="shared" si="152"/>
        <v>35956.307671193863</v>
      </c>
      <c r="O48" s="402"/>
      <c r="P48" s="194"/>
      <c r="Q48" s="403"/>
      <c r="R48" s="382" t="s">
        <v>105</v>
      </c>
      <c r="S48" s="354">
        <f t="shared" ref="S48:Z48" si="154">S12+S29</f>
        <v>9871.0326999999997</v>
      </c>
      <c r="T48" s="450">
        <f t="shared" si="154"/>
        <v>25236.758327975578</v>
      </c>
      <c r="U48" s="360">
        <f t="shared" si="154"/>
        <v>19360</v>
      </c>
      <c r="V48" s="360">
        <f t="shared" si="154"/>
        <v>24473</v>
      </c>
      <c r="W48" s="360">
        <f t="shared" si="154"/>
        <v>51286.197306403345</v>
      </c>
      <c r="X48" s="360">
        <f t="shared" si="154"/>
        <v>34128.204586780383</v>
      </c>
      <c r="Y48" s="360">
        <f t="shared" si="154"/>
        <v>21323</v>
      </c>
      <c r="Z48" s="348">
        <f t="shared" si="154"/>
        <v>25577.596427609496</v>
      </c>
      <c r="AA48" s="406"/>
      <c r="AD48"/>
      <c r="AE48" s="382" t="s">
        <v>105</v>
      </c>
      <c r="AF48" s="354">
        <f t="shared" ref="AF48:AM48" si="155">AF12+AF29</f>
        <v>6517.0990000000002</v>
      </c>
      <c r="AG48" s="450">
        <f t="shared" si="155"/>
        <v>36880.038199911272</v>
      </c>
      <c r="AH48" s="360">
        <f t="shared" si="155"/>
        <v>25605</v>
      </c>
      <c r="AI48" s="360">
        <f t="shared" si="155"/>
        <v>40995</v>
      </c>
      <c r="AJ48" s="360">
        <f t="shared" si="155"/>
        <v>62078.272890053748</v>
      </c>
      <c r="AK48" s="360">
        <f t="shared" si="155"/>
        <v>51736.444299791241</v>
      </c>
      <c r="AL48" s="360">
        <f t="shared" si="155"/>
        <v>38030</v>
      </c>
      <c r="AM48" s="348">
        <f t="shared" si="155"/>
        <v>37926.858748235856</v>
      </c>
      <c r="AN48" s="398"/>
      <c r="AQ48"/>
      <c r="AR48" s="676" t="s">
        <v>105</v>
      </c>
      <c r="AS48" s="440">
        <f t="shared" ref="AS48:AY48" si="156">AS12+AS29</f>
        <v>0</v>
      </c>
      <c r="AT48" s="440">
        <f t="shared" si="156"/>
        <v>14901</v>
      </c>
      <c r="AU48" s="360">
        <f t="shared" si="156"/>
        <v>0</v>
      </c>
      <c r="AV48" s="360">
        <f t="shared" si="156"/>
        <v>0</v>
      </c>
      <c r="AW48" s="360">
        <f t="shared" si="156"/>
        <v>0</v>
      </c>
      <c r="AX48" s="360">
        <f t="shared" si="156"/>
        <v>0</v>
      </c>
      <c r="AY48" s="348">
        <f t="shared" si="156"/>
        <v>43668.619718449649</v>
      </c>
      <c r="AZ48" s="399"/>
      <c r="BD48" s="382" t="s">
        <v>105</v>
      </c>
      <c r="BE48" s="354">
        <f t="shared" ref="BE48:BL48" si="157">BE12+BE29</f>
        <v>23956.251094371721</v>
      </c>
      <c r="BF48" s="450">
        <f t="shared" si="157"/>
        <v>0</v>
      </c>
      <c r="BG48" s="360">
        <f t="shared" si="157"/>
        <v>0</v>
      </c>
      <c r="BH48" s="360">
        <f t="shared" si="157"/>
        <v>42928</v>
      </c>
      <c r="BI48" s="360">
        <f t="shared" si="157"/>
        <v>69692.521395399861</v>
      </c>
      <c r="BJ48" s="360">
        <f t="shared" ref="BJ48" si="158">BJ12+BJ29</f>
        <v>46387.590525597188</v>
      </c>
      <c r="BK48" s="360">
        <f t="shared" si="157"/>
        <v>30067</v>
      </c>
      <c r="BL48" s="348">
        <f t="shared" si="157"/>
        <v>32981.44042154323</v>
      </c>
      <c r="BO48"/>
      <c r="BP48" s="382" t="s">
        <v>105</v>
      </c>
      <c r="BQ48" s="354">
        <f t="shared" ref="BQ48:BX48" si="159">BQ12+BQ29</f>
        <v>170828.41017210492</v>
      </c>
      <c r="BR48" s="440">
        <f t="shared" si="159"/>
        <v>131529.44588998257</v>
      </c>
      <c r="BS48" s="360">
        <f t="shared" si="159"/>
        <v>77287</v>
      </c>
      <c r="BT48" s="360">
        <f t="shared" si="159"/>
        <v>138765</v>
      </c>
      <c r="BU48" s="360">
        <f t="shared" si="159"/>
        <v>267201.33765697322</v>
      </c>
      <c r="BV48" s="360">
        <f t="shared" si="159"/>
        <v>187163.52469048882</v>
      </c>
      <c r="BW48" s="360">
        <f t="shared" si="159"/>
        <v>118410</v>
      </c>
      <c r="BX48" s="348">
        <f t="shared" si="159"/>
        <v>176110.82298703209</v>
      </c>
      <c r="BY48" s="399"/>
      <c r="BZ48" s="402"/>
      <c r="CA48" s="194"/>
    </row>
    <row r="49" spans="2:79">
      <c r="B49" s="40"/>
      <c r="C49" s="40"/>
      <c r="D49" s="40"/>
      <c r="F49" s="382" t="s">
        <v>32</v>
      </c>
      <c r="G49" s="355">
        <f t="shared" ref="G49:N49" si="160">G41/G48</f>
        <v>20.44995414605069</v>
      </c>
      <c r="H49" s="441">
        <f t="shared" si="160"/>
        <v>26.855591764291919</v>
      </c>
      <c r="I49" s="673">
        <f t="shared" si="160"/>
        <v>42.040891962131056</v>
      </c>
      <c r="J49" s="673">
        <f t="shared" si="160"/>
        <v>30.102581579900562</v>
      </c>
      <c r="K49" s="673">
        <f t="shared" si="160"/>
        <v>21.145330215465247</v>
      </c>
      <c r="L49" s="673">
        <f t="shared" ref="L49" si="161">L41/L48</f>
        <v>22.452879714291548</v>
      </c>
      <c r="M49" s="361">
        <f t="shared" si="160"/>
        <v>29.199901690238015</v>
      </c>
      <c r="N49" s="349">
        <f t="shared" si="160"/>
        <v>28.150868443131511</v>
      </c>
      <c r="O49" s="402"/>
      <c r="P49" s="194"/>
      <c r="Q49" s="403"/>
      <c r="R49" s="382" t="s">
        <v>32</v>
      </c>
      <c r="S49" s="355">
        <f t="shared" ref="S49:Z49" si="162">S41/S48</f>
        <v>26.735152037334458</v>
      </c>
      <c r="T49" s="451">
        <f t="shared" si="162"/>
        <v>28.804071844448792</v>
      </c>
      <c r="U49" s="673">
        <f t="shared" si="162"/>
        <v>43.586758264462809</v>
      </c>
      <c r="V49" s="673">
        <f t="shared" si="162"/>
        <v>49.69078412944878</v>
      </c>
      <c r="W49" s="673">
        <f t="shared" si="162"/>
        <v>28.860624285653429</v>
      </c>
      <c r="X49" s="673">
        <f t="shared" si="162"/>
        <v>31.281354071392482</v>
      </c>
      <c r="Y49" s="361">
        <f t="shared" si="162"/>
        <v>48.477989926370583</v>
      </c>
      <c r="Z49" s="349">
        <f t="shared" si="162"/>
        <v>41.58179521760335</v>
      </c>
      <c r="AA49" s="406"/>
      <c r="AD49"/>
      <c r="AE49" s="382" t="s">
        <v>32</v>
      </c>
      <c r="AF49" s="355">
        <f t="shared" ref="AF49:AM49" si="163">AF41/AF48</f>
        <v>36.559912623699596</v>
      </c>
      <c r="AG49" s="451">
        <f t="shared" si="163"/>
        <v>34.746872767693695</v>
      </c>
      <c r="AH49" s="673">
        <f t="shared" si="163"/>
        <v>48.767208357742632</v>
      </c>
      <c r="AI49" s="673">
        <f t="shared" si="163"/>
        <v>35.096622027076471</v>
      </c>
      <c r="AJ49" s="673">
        <f t="shared" si="163"/>
        <v>27.745383049672917</v>
      </c>
      <c r="AK49" s="673">
        <f t="shared" si="163"/>
        <v>29.168495454620103</v>
      </c>
      <c r="AL49" s="361">
        <f t="shared" si="163"/>
        <v>38.411190717565518</v>
      </c>
      <c r="AM49" s="349">
        <f t="shared" si="163"/>
        <v>37.511695024931498</v>
      </c>
      <c r="AN49" s="399"/>
      <c r="AQ49"/>
      <c r="AR49" s="676" t="s">
        <v>32</v>
      </c>
      <c r="AS49" s="441" t="e">
        <f t="shared" ref="AS49:AY49" si="164">AS41/AS48</f>
        <v>#DIV/0!</v>
      </c>
      <c r="AT49" s="441">
        <f t="shared" si="164"/>
        <v>42.136635125159387</v>
      </c>
      <c r="AU49" s="673" t="e">
        <f t="shared" si="164"/>
        <v>#DIV/0!</v>
      </c>
      <c r="AV49" s="673" t="e">
        <f t="shared" si="164"/>
        <v>#DIV/0!</v>
      </c>
      <c r="AW49" s="673" t="e">
        <f t="shared" si="164"/>
        <v>#DIV/0!</v>
      </c>
      <c r="AX49" s="361" t="e">
        <f t="shared" si="164"/>
        <v>#DIV/0!</v>
      </c>
      <c r="AY49" s="349">
        <f t="shared" si="164"/>
        <v>22.31611761043737</v>
      </c>
      <c r="AZ49" s="399"/>
      <c r="BD49" s="382" t="s">
        <v>32</v>
      </c>
      <c r="BE49" s="355">
        <f t="shared" ref="BE49:BL49" si="165">BE41/BE48</f>
        <v>35.463243670859541</v>
      </c>
      <c r="BF49" s="451" t="e">
        <f t="shared" si="165"/>
        <v>#DIV/0!</v>
      </c>
      <c r="BG49" s="673" t="e">
        <f t="shared" si="165"/>
        <v>#DIV/0!</v>
      </c>
      <c r="BH49" s="673">
        <f t="shared" si="165"/>
        <v>42.861258386134928</v>
      </c>
      <c r="BI49" s="673">
        <f t="shared" si="165"/>
        <v>26.113180233378543</v>
      </c>
      <c r="BJ49" s="673">
        <f t="shared" ref="BJ49" si="166">BJ41/BJ48</f>
        <v>27.772738086186273</v>
      </c>
      <c r="BK49" s="361">
        <f t="shared" si="165"/>
        <v>34.864506601922372</v>
      </c>
      <c r="BL49" s="349">
        <f t="shared" si="165"/>
        <v>33.657072502060373</v>
      </c>
      <c r="BO49"/>
      <c r="BP49" s="382" t="s">
        <v>32</v>
      </c>
      <c r="BQ49" s="355">
        <f t="shared" ref="BQ49:BX49" si="167">BQ41/BQ48</f>
        <v>23.533128199322935</v>
      </c>
      <c r="BR49" s="441">
        <f t="shared" si="167"/>
        <v>31.173308523600667</v>
      </c>
      <c r="BS49" s="673">
        <f t="shared" si="167"/>
        <v>44.65653628682702</v>
      </c>
      <c r="BT49" s="673">
        <f t="shared" si="167"/>
        <v>38.979584044968114</v>
      </c>
      <c r="BU49" s="673">
        <f t="shared" si="167"/>
        <v>25.4553010361664</v>
      </c>
      <c r="BV49" s="673">
        <f t="shared" si="167"/>
        <v>27.237559165200206</v>
      </c>
      <c r="BW49" s="361">
        <f t="shared" si="167"/>
        <v>37.068237751786313</v>
      </c>
      <c r="BX49" s="349">
        <f t="shared" si="167"/>
        <v>31.701840424680409</v>
      </c>
      <c r="BY49" s="399"/>
      <c r="BZ49" s="402"/>
      <c r="CA49" s="194"/>
    </row>
    <row r="50" spans="2:79">
      <c r="B50" s="40"/>
      <c r="C50" s="40"/>
      <c r="D50" s="40"/>
      <c r="F50" s="383" t="s">
        <v>106</v>
      </c>
      <c r="G50" s="356">
        <f t="shared" ref="G50:N50" si="168">G51/G46</f>
        <v>0.1720596391941564</v>
      </c>
      <c r="H50" s="442">
        <f t="shared" si="168"/>
        <v>0.1379125301851355</v>
      </c>
      <c r="I50" s="362">
        <f t="shared" si="168"/>
        <v>0.10951430290433736</v>
      </c>
      <c r="J50" s="362">
        <f t="shared" si="168"/>
        <v>0.20224740392632456</v>
      </c>
      <c r="K50" s="362">
        <f t="shared" si="168"/>
        <v>0.17983224892320412</v>
      </c>
      <c r="L50" s="362">
        <f t="shared" ref="L50" si="169">L51/L46</f>
        <v>0.19846242129774311</v>
      </c>
      <c r="M50" s="362">
        <f t="shared" si="168"/>
        <v>0.17859181948980291</v>
      </c>
      <c r="N50" s="184">
        <f t="shared" si="168"/>
        <v>0.18534106398953135</v>
      </c>
      <c r="O50" s="402"/>
      <c r="P50" s="194"/>
      <c r="Q50" s="403"/>
      <c r="R50" s="383" t="s">
        <v>106</v>
      </c>
      <c r="S50" s="356">
        <f t="shared" ref="S50:Z50" si="170">S51/S46</f>
        <v>0.2219640130137441</v>
      </c>
      <c r="T50" s="452">
        <f t="shared" si="170"/>
        <v>0.18895055499495458</v>
      </c>
      <c r="U50" s="362">
        <f t="shared" si="170"/>
        <v>0.17590931100287677</v>
      </c>
      <c r="V50" s="362">
        <f t="shared" si="170"/>
        <v>0.15173338440911702</v>
      </c>
      <c r="W50" s="362">
        <f t="shared" si="170"/>
        <v>0.17999905219428627</v>
      </c>
      <c r="X50" s="362">
        <f t="shared" si="170"/>
        <v>0.1966049975866852</v>
      </c>
      <c r="Y50" s="362">
        <f t="shared" si="170"/>
        <v>0.20210426604418283</v>
      </c>
      <c r="Z50" s="184">
        <f t="shared" si="170"/>
        <v>0.23111068742307808</v>
      </c>
      <c r="AA50" s="406"/>
      <c r="AD50"/>
      <c r="AE50" s="383" t="s">
        <v>106</v>
      </c>
      <c r="AF50" s="356">
        <f t="shared" ref="AF50:AM50" si="171">AF51/AF46</f>
        <v>0.22038177961822039</v>
      </c>
      <c r="AG50" s="452">
        <f t="shared" si="171"/>
        <v>0.22456850007713008</v>
      </c>
      <c r="AH50" s="362">
        <f t="shared" si="171"/>
        <v>0.15927117299726801</v>
      </c>
      <c r="AI50" s="362">
        <f t="shared" si="171"/>
        <v>0.17733238125723291</v>
      </c>
      <c r="AJ50" s="362">
        <f t="shared" si="171"/>
        <v>0.18603373302981557</v>
      </c>
      <c r="AK50" s="362">
        <f t="shared" si="171"/>
        <v>0.19604275949482752</v>
      </c>
      <c r="AL50" s="362">
        <f t="shared" si="171"/>
        <v>0.2075380573371455</v>
      </c>
      <c r="AM50" s="184">
        <f t="shared" si="171"/>
        <v>0.23839780074301259</v>
      </c>
      <c r="AN50" s="398"/>
      <c r="AQ50"/>
      <c r="AR50" s="677" t="s">
        <v>106</v>
      </c>
      <c r="AS50" s="442" t="e">
        <f t="shared" ref="AS50:AY50" si="172">AS51/AS46</f>
        <v>#DIV/0!</v>
      </c>
      <c r="AT50" s="442">
        <f t="shared" si="172"/>
        <v>0.12012847965738759</v>
      </c>
      <c r="AU50" s="362" t="e">
        <f t="shared" si="172"/>
        <v>#DIV/0!</v>
      </c>
      <c r="AV50" s="362" t="e">
        <f t="shared" si="172"/>
        <v>#DIV/0!</v>
      </c>
      <c r="AW50" s="362" t="e">
        <f t="shared" si="172"/>
        <v>#DIV/0!</v>
      </c>
      <c r="AX50" s="362" t="e">
        <f t="shared" si="172"/>
        <v>#DIV/0!</v>
      </c>
      <c r="AY50" s="184">
        <f t="shared" si="172"/>
        <v>0.12756546933246624</v>
      </c>
      <c r="AZ50" s="399"/>
      <c r="BD50" s="383" t="s">
        <v>106</v>
      </c>
      <c r="BE50" s="356">
        <f t="shared" ref="BE50:BL50" si="173">BE51/BE46</f>
        <v>0.16615248357812384</v>
      </c>
      <c r="BF50" s="452" t="e">
        <f t="shared" si="173"/>
        <v>#DIV/0!</v>
      </c>
      <c r="BG50" s="362" t="e">
        <f t="shared" si="173"/>
        <v>#DIV/0!</v>
      </c>
      <c r="BH50" s="362">
        <f t="shared" si="173"/>
        <v>0.15968698744577464</v>
      </c>
      <c r="BI50" s="362">
        <f t="shared" si="173"/>
        <v>0.16511069146634527</v>
      </c>
      <c r="BJ50" s="362">
        <f t="shared" ref="BJ50" si="174">BJ51/BJ46</f>
        <v>0.17145015759812923</v>
      </c>
      <c r="BK50" s="362">
        <f t="shared" si="173"/>
        <v>0.17194966977501744</v>
      </c>
      <c r="BL50" s="184">
        <f t="shared" si="173"/>
        <v>0.16858532257001543</v>
      </c>
      <c r="BO50"/>
      <c r="BP50" s="383" t="s">
        <v>106</v>
      </c>
      <c r="BQ50" s="356">
        <f t="shared" ref="BQ50:BX50" si="175">BQ51/BQ46</f>
        <v>0.17477647952385472</v>
      </c>
      <c r="BR50" s="442">
        <f t="shared" si="175"/>
        <v>0.16186824119568657</v>
      </c>
      <c r="BS50" s="362">
        <f t="shared" si="175"/>
        <v>0.13938774580320121</v>
      </c>
      <c r="BT50" s="362">
        <f t="shared" si="175"/>
        <v>0.16999387398083882</v>
      </c>
      <c r="BU50" s="362">
        <f t="shared" si="175"/>
        <v>0.17670159218417994</v>
      </c>
      <c r="BV50" s="362">
        <f t="shared" si="175"/>
        <v>0.18967079584077273</v>
      </c>
      <c r="BW50" s="362">
        <f t="shared" si="175"/>
        <v>0.18866068813853387</v>
      </c>
      <c r="BX50" s="184">
        <f t="shared" si="175"/>
        <v>0.18034226452156468</v>
      </c>
      <c r="BY50" s="399"/>
      <c r="BZ50" s="402"/>
      <c r="CA50" s="194"/>
    </row>
    <row r="51" spans="2:79">
      <c r="B51" s="40"/>
      <c r="C51" s="40"/>
      <c r="D51" s="40"/>
      <c r="F51" s="382" t="s">
        <v>107</v>
      </c>
      <c r="G51" s="354">
        <f t="shared" ref="G51:N51" si="176">G15+G32</f>
        <v>36605</v>
      </c>
      <c r="H51" s="440">
        <f t="shared" si="176"/>
        <v>14392</v>
      </c>
      <c r="I51" s="360">
        <f t="shared" si="176"/>
        <v>8009</v>
      </c>
      <c r="J51" s="360">
        <f t="shared" si="176"/>
        <v>10673</v>
      </c>
      <c r="K51" s="360">
        <f t="shared" si="176"/>
        <v>22677.398726433523</v>
      </c>
      <c r="L51" s="360">
        <f t="shared" ref="L51" si="177">L15+L32</f>
        <v>15858.423932738569</v>
      </c>
      <c r="M51" s="360">
        <f t="shared" si="176"/>
        <v>7820</v>
      </c>
      <c r="N51" s="348">
        <f t="shared" si="176"/>
        <v>10145.094976573222</v>
      </c>
      <c r="O51" s="402"/>
      <c r="P51" s="194"/>
      <c r="Q51" s="403"/>
      <c r="R51" s="382" t="s">
        <v>107</v>
      </c>
      <c r="S51" s="354">
        <f t="shared" ref="S51:Z51" si="178">S15+S32</f>
        <v>3343</v>
      </c>
      <c r="T51" s="450">
        <f t="shared" si="178"/>
        <v>8239</v>
      </c>
      <c r="U51" s="360">
        <f t="shared" si="178"/>
        <v>6176</v>
      </c>
      <c r="V51" s="360">
        <f t="shared" si="178"/>
        <v>7922</v>
      </c>
      <c r="W51" s="360">
        <f t="shared" si="178"/>
        <v>13205.451460843529</v>
      </c>
      <c r="X51" s="360">
        <f t="shared" si="178"/>
        <v>9416.3788970176538</v>
      </c>
      <c r="Y51" s="360">
        <f t="shared" si="178"/>
        <v>5974</v>
      </c>
      <c r="Z51" s="348">
        <f t="shared" si="178"/>
        <v>8227.8528191768673</v>
      </c>
      <c r="AA51" s="406"/>
      <c r="AD51"/>
      <c r="AE51" s="382" t="s">
        <v>107</v>
      </c>
      <c r="AF51" s="354">
        <f t="shared" ref="AF51:AM51" si="179">AF15+AF32</f>
        <v>2182</v>
      </c>
      <c r="AG51" s="450">
        <f t="shared" si="179"/>
        <v>13102</v>
      </c>
      <c r="AH51" s="360">
        <f t="shared" si="179"/>
        <v>7229</v>
      </c>
      <c r="AI51" s="360">
        <f t="shared" si="179"/>
        <v>14404</v>
      </c>
      <c r="AJ51" s="360">
        <f t="shared" si="179"/>
        <v>16392.950450761251</v>
      </c>
      <c r="AK51" s="360">
        <f t="shared" si="179"/>
        <v>14259.726308344307</v>
      </c>
      <c r="AL51" s="360">
        <f t="shared" si="179"/>
        <v>10743</v>
      </c>
      <c r="AM51" s="348">
        <f t="shared" si="179"/>
        <v>12328.616014149626</v>
      </c>
      <c r="AN51" s="399"/>
      <c r="AQ51"/>
      <c r="AR51" s="676" t="s">
        <v>107</v>
      </c>
      <c r="AS51" s="440">
        <f t="shared" ref="AS51:AY51" si="180">AS15+AS32</f>
        <v>0</v>
      </c>
      <c r="AT51" s="440">
        <f t="shared" si="180"/>
        <v>6732</v>
      </c>
      <c r="AU51" s="360">
        <f t="shared" si="180"/>
        <v>0</v>
      </c>
      <c r="AV51" s="360">
        <f t="shared" si="180"/>
        <v>0</v>
      </c>
      <c r="AW51" s="360">
        <f t="shared" si="180"/>
        <v>0</v>
      </c>
      <c r="AX51" s="360">
        <f t="shared" si="180"/>
        <v>0</v>
      </c>
      <c r="AY51" s="348">
        <f t="shared" si="180"/>
        <v>10556.017084280238</v>
      </c>
      <c r="AZ51" s="399"/>
      <c r="BD51" s="382" t="s">
        <v>107</v>
      </c>
      <c r="BE51" s="354">
        <f t="shared" ref="BE51:BL51" si="181">BE15+BE32</f>
        <v>11256</v>
      </c>
      <c r="BF51" s="450">
        <f t="shared" si="181"/>
        <v>0</v>
      </c>
      <c r="BG51" s="360">
        <f t="shared" si="181"/>
        <v>0</v>
      </c>
      <c r="BH51" s="360">
        <f t="shared" si="181"/>
        <v>20835</v>
      </c>
      <c r="BI51" s="360">
        <f t="shared" si="181"/>
        <v>20783.689530523097</v>
      </c>
      <c r="BJ51" s="360">
        <f t="shared" ref="BJ51" si="182">BJ15+BJ32</f>
        <v>14096.654303957397</v>
      </c>
      <c r="BK51" s="360">
        <f t="shared" si="181"/>
        <v>9607</v>
      </c>
      <c r="BL51" s="348">
        <f t="shared" si="181"/>
        <v>10268.140104936585</v>
      </c>
      <c r="BO51"/>
      <c r="BP51" s="382" t="s">
        <v>107</v>
      </c>
      <c r="BQ51" s="354">
        <f t="shared" ref="BQ51:BX51" si="183">BQ15+BQ32</f>
        <v>53386</v>
      </c>
      <c r="BR51" s="440">
        <f t="shared" si="183"/>
        <v>42465</v>
      </c>
      <c r="BS51" s="360">
        <f t="shared" si="183"/>
        <v>21414</v>
      </c>
      <c r="BT51" s="360">
        <f t="shared" si="183"/>
        <v>53834</v>
      </c>
      <c r="BU51" s="360">
        <f t="shared" si="183"/>
        <v>73059.490168561402</v>
      </c>
      <c r="BV51" s="360">
        <f t="shared" si="183"/>
        <v>53631.183442057925</v>
      </c>
      <c r="BW51" s="360">
        <f t="shared" si="183"/>
        <v>34144</v>
      </c>
      <c r="BX51" s="348">
        <f t="shared" si="183"/>
        <v>51525.720999116536</v>
      </c>
      <c r="BY51" s="399"/>
      <c r="BZ51" s="402"/>
      <c r="CA51" s="194"/>
    </row>
    <row r="52" spans="2:79" ht="15" thickBot="1">
      <c r="F52" s="382" t="s">
        <v>34</v>
      </c>
      <c r="G52" s="355">
        <f t="shared" ref="G52:N52" si="184">G41/G51</f>
        <v>72.896936939398088</v>
      </c>
      <c r="H52" s="441">
        <f t="shared" si="184"/>
        <v>101.71919133314803</v>
      </c>
      <c r="I52" s="673">
        <f t="shared" si="184"/>
        <v>169.66484080409538</v>
      </c>
      <c r="J52" s="673">
        <f t="shared" si="184"/>
        <v>85.654014803710311</v>
      </c>
      <c r="K52" s="673">
        <f t="shared" si="184"/>
        <v>78.459615442458272</v>
      </c>
      <c r="L52" s="673">
        <f t="shared" ref="L52" si="185">L41/L51</f>
        <v>77.745209015758519</v>
      </c>
      <c r="M52" s="361">
        <f t="shared" si="184"/>
        <v>108.24874040920716</v>
      </c>
      <c r="N52" s="349">
        <f t="shared" si="184"/>
        <v>99.772480128563259</v>
      </c>
      <c r="O52" s="402"/>
      <c r="P52" s="194"/>
      <c r="Q52" s="405"/>
      <c r="R52" s="382" t="s">
        <v>34</v>
      </c>
      <c r="S52" s="671">
        <f t="shared" ref="S52:Z52" si="186">S41/S51</f>
        <v>78.942135806162142</v>
      </c>
      <c r="T52" s="672">
        <f t="shared" si="186"/>
        <v>88.229323947080943</v>
      </c>
      <c r="U52" s="673">
        <f t="shared" si="186"/>
        <v>136.63206606217616</v>
      </c>
      <c r="V52" s="673">
        <f t="shared" si="186"/>
        <v>153.50701338045948</v>
      </c>
      <c r="W52" s="673">
        <f t="shared" si="186"/>
        <v>112.08641187988961</v>
      </c>
      <c r="X52" s="673">
        <f t="shared" si="186"/>
        <v>113.37441527954232</v>
      </c>
      <c r="Y52" s="673">
        <f t="shared" si="186"/>
        <v>173.03250405088718</v>
      </c>
      <c r="Z52" s="674">
        <f t="shared" si="186"/>
        <v>129.26366090707032</v>
      </c>
      <c r="AA52" s="406"/>
      <c r="AE52" s="382" t="s">
        <v>34</v>
      </c>
      <c r="AF52" s="671">
        <f t="shared" ref="AF52:AM52" si="187">AF41/AF51</f>
        <v>109.19549495875344</v>
      </c>
      <c r="AG52" s="672">
        <f t="shared" si="187"/>
        <v>97.80689932834683</v>
      </c>
      <c r="AH52" s="673">
        <f t="shared" si="187"/>
        <v>172.73265596901371</v>
      </c>
      <c r="AI52" s="673">
        <f t="shared" si="187"/>
        <v>99.88794918078311</v>
      </c>
      <c r="AJ52" s="673">
        <f t="shared" si="187"/>
        <v>105.0686675086414</v>
      </c>
      <c r="AK52" s="673">
        <f t="shared" si="187"/>
        <v>105.82771420469747</v>
      </c>
      <c r="AL52" s="673">
        <f t="shared" si="187"/>
        <v>135.97482853849172</v>
      </c>
      <c r="AM52" s="674">
        <f t="shared" si="187"/>
        <v>115.39825370379259</v>
      </c>
      <c r="AN52" s="398"/>
      <c r="AR52" s="676" t="s">
        <v>34</v>
      </c>
      <c r="AS52" s="441" t="e">
        <f t="shared" ref="AS52:AY52" si="188">AS41/AS51</f>
        <v>#DIV/0!</v>
      </c>
      <c r="AT52" s="441">
        <f t="shared" si="188"/>
        <v>93.267676767676761</v>
      </c>
      <c r="AU52" s="673" t="e">
        <f t="shared" si="188"/>
        <v>#DIV/0!</v>
      </c>
      <c r="AV52" s="673" t="e">
        <f t="shared" si="188"/>
        <v>#DIV/0!</v>
      </c>
      <c r="AW52" s="673" t="e">
        <f t="shared" si="188"/>
        <v>#DIV/0!</v>
      </c>
      <c r="AX52" s="361" t="e">
        <f t="shared" si="188"/>
        <v>#DIV/0!</v>
      </c>
      <c r="AY52" s="349">
        <f t="shared" si="188"/>
        <v>92.318347511355327</v>
      </c>
      <c r="AZ52" s="399"/>
      <c r="BD52" s="382" t="s">
        <v>34</v>
      </c>
      <c r="BE52" s="671">
        <f t="shared" ref="BE52:BL52" si="189">BE41/BE51</f>
        <v>75.47675639658847</v>
      </c>
      <c r="BF52" s="672" t="e">
        <f t="shared" si="189"/>
        <v>#DIV/0!</v>
      </c>
      <c r="BG52" s="673" t="e">
        <f t="shared" si="189"/>
        <v>#DIV/0!</v>
      </c>
      <c r="BH52" s="673">
        <f t="shared" si="189"/>
        <v>88.310443964482843</v>
      </c>
      <c r="BI52" s="673">
        <f t="shared" si="189"/>
        <v>87.563537236444773</v>
      </c>
      <c r="BJ52" s="673">
        <f t="shared" ref="BJ52" si="190">BJ41/BJ51</f>
        <v>91.391217684539171</v>
      </c>
      <c r="BK52" s="673">
        <f t="shared" si="189"/>
        <v>109.11534506089309</v>
      </c>
      <c r="BL52" s="674">
        <f t="shared" si="189"/>
        <v>108.10708854241142</v>
      </c>
      <c r="BP52" s="384" t="s">
        <v>34</v>
      </c>
      <c r="BQ52" s="371">
        <f t="shared" ref="BQ52:BX52" si="191">BQ41/BQ51</f>
        <v>75.303017208007091</v>
      </c>
      <c r="BR52" s="444">
        <f t="shared" si="191"/>
        <v>96.554998155343611</v>
      </c>
      <c r="BS52" s="698">
        <f t="shared" si="191"/>
        <v>161.17351825908284</v>
      </c>
      <c r="BT52" s="698">
        <f t="shared" si="191"/>
        <v>100.47557268640637</v>
      </c>
      <c r="BU52" s="698">
        <f t="shared" si="191"/>
        <v>93.097973605234216</v>
      </c>
      <c r="BV52" s="698">
        <f t="shared" si="191"/>
        <v>95.054355510022361</v>
      </c>
      <c r="BW52" s="367">
        <f t="shared" si="191"/>
        <v>128.55113730637936</v>
      </c>
      <c r="BX52" s="366">
        <f t="shared" si="191"/>
        <v>108.35437329425739</v>
      </c>
      <c r="BY52" s="399"/>
      <c r="BZ52" s="402"/>
      <c r="CA52" s="194"/>
    </row>
    <row r="53" spans="2:79" ht="15" thickBot="1">
      <c r="F53" s="384" t="s">
        <v>36</v>
      </c>
      <c r="G53" s="358">
        <f t="shared" ref="G53:N53" si="192">G17</f>
        <v>0.4642</v>
      </c>
      <c r="H53" s="448">
        <f t="shared" si="192"/>
        <v>0.84570000000000001</v>
      </c>
      <c r="I53" s="364">
        <f t="shared" si="192"/>
        <v>0.83030000000000004</v>
      </c>
      <c r="J53" s="364">
        <f t="shared" si="192"/>
        <v>0.87939999999999996</v>
      </c>
      <c r="K53" s="364">
        <f t="shared" si="192"/>
        <v>0.8</v>
      </c>
      <c r="L53" s="364">
        <f t="shared" ref="L53" si="193">L17</f>
        <v>0.8</v>
      </c>
      <c r="M53" s="364">
        <f t="shared" si="192"/>
        <v>0.77190000000000003</v>
      </c>
      <c r="N53" s="352">
        <f t="shared" si="192"/>
        <v>0.80168414695961676</v>
      </c>
      <c r="O53" s="402"/>
      <c r="P53" s="194"/>
      <c r="R53" s="384" t="s">
        <v>36</v>
      </c>
      <c r="S53" s="358">
        <f t="shared" ref="S53:Z53" si="194">S17</f>
        <v>0.53349999999999997</v>
      </c>
      <c r="T53" s="448">
        <f t="shared" si="194"/>
        <v>0.71909999999999996</v>
      </c>
      <c r="U53" s="364">
        <f t="shared" si="194"/>
        <v>0.4864</v>
      </c>
      <c r="V53" s="364">
        <f t="shared" si="194"/>
        <v>0.7873</v>
      </c>
      <c r="W53" s="364">
        <f t="shared" si="194"/>
        <v>0.8</v>
      </c>
      <c r="X53" s="364">
        <f t="shared" si="194"/>
        <v>0.8</v>
      </c>
      <c r="Y53" s="364">
        <f t="shared" si="194"/>
        <v>0.72819999999999996</v>
      </c>
      <c r="Z53" s="352">
        <f t="shared" si="194"/>
        <v>0.80011328638721446</v>
      </c>
      <c r="AA53" s="406"/>
      <c r="AE53" s="384" t="s">
        <v>36</v>
      </c>
      <c r="AF53" s="358">
        <f t="shared" ref="AF53:AM53" si="195">AF17</f>
        <v>0.45419999999999999</v>
      </c>
      <c r="AG53" s="448">
        <f t="shared" si="195"/>
        <v>0.83630000000000004</v>
      </c>
      <c r="AH53" s="364">
        <f t="shared" si="195"/>
        <v>0.74229999999999996</v>
      </c>
      <c r="AI53" s="364">
        <f t="shared" si="195"/>
        <v>0.84599999999999997</v>
      </c>
      <c r="AJ53" s="364">
        <f t="shared" si="195"/>
        <v>0.8</v>
      </c>
      <c r="AK53" s="364">
        <f t="shared" si="195"/>
        <v>0.8</v>
      </c>
      <c r="AL53" s="364">
        <f t="shared" si="195"/>
        <v>0.76400000000000001</v>
      </c>
      <c r="AM53" s="352">
        <f t="shared" si="195"/>
        <v>0.80064347276489667</v>
      </c>
      <c r="AN53" s="399"/>
      <c r="AR53" s="678" t="s">
        <v>36</v>
      </c>
      <c r="AS53" s="448">
        <f t="shared" ref="AS53:AY53" si="196">AS17</f>
        <v>0</v>
      </c>
      <c r="AT53" s="448">
        <f t="shared" si="196"/>
        <v>0.4899</v>
      </c>
      <c r="AU53" s="364">
        <f t="shared" si="196"/>
        <v>0</v>
      </c>
      <c r="AV53" s="364">
        <f t="shared" si="196"/>
        <v>0</v>
      </c>
      <c r="AW53" s="364">
        <f t="shared" si="196"/>
        <v>0</v>
      </c>
      <c r="AX53" s="364">
        <f t="shared" si="196"/>
        <v>0</v>
      </c>
      <c r="AY53" s="352">
        <f t="shared" si="196"/>
        <v>0.79999022279724408</v>
      </c>
      <c r="AZ53" s="399"/>
      <c r="BD53" s="384" t="s">
        <v>36</v>
      </c>
      <c r="BE53" s="358">
        <f t="shared" ref="BE53:BL53" si="197">BE17</f>
        <v>0.74639999999999995</v>
      </c>
      <c r="BF53" s="448">
        <f t="shared" si="197"/>
        <v>0</v>
      </c>
      <c r="BG53" s="364">
        <f t="shared" si="197"/>
        <v>0</v>
      </c>
      <c r="BH53" s="364">
        <f t="shared" si="197"/>
        <v>0.79259999999999997</v>
      </c>
      <c r="BI53" s="364">
        <f t="shared" si="197"/>
        <v>0.8</v>
      </c>
      <c r="BJ53" s="364">
        <f t="shared" ref="BJ53" si="198">BJ17</f>
        <v>0.8</v>
      </c>
      <c r="BK53" s="364">
        <f t="shared" si="197"/>
        <v>0.75019999999999998</v>
      </c>
      <c r="BL53" s="352">
        <f t="shared" si="197"/>
        <v>0.79791698286318913</v>
      </c>
      <c r="BY53" s="399"/>
      <c r="BZ53" s="402"/>
      <c r="CA53" s="194"/>
    </row>
    <row r="54" spans="2:79">
      <c r="O54" s="402"/>
      <c r="P54" s="194"/>
      <c r="Q54" s="405"/>
      <c r="AA54" s="406"/>
      <c r="AE54"/>
      <c r="AN54" s="398"/>
      <c r="AZ54" s="399"/>
      <c r="BY54" s="399"/>
      <c r="BZ54" s="402"/>
      <c r="CA54" s="194"/>
    </row>
    <row r="55" spans="2:79">
      <c r="O55" s="402"/>
      <c r="P55" s="194"/>
      <c r="AA55" s="406"/>
      <c r="AN55" s="399"/>
      <c r="AZ55" s="399"/>
      <c r="BY55" s="399"/>
      <c r="BZ55" s="402"/>
      <c r="CA55" s="194"/>
    </row>
    <row r="56" spans="2:79">
      <c r="O56" s="402"/>
      <c r="P56" s="194"/>
      <c r="AA56" s="406"/>
      <c r="AN56" s="398"/>
      <c r="BP56" s="462"/>
      <c r="BX56" s="399"/>
      <c r="BY56" s="402"/>
      <c r="BZ56" s="194"/>
    </row>
    <row r="57" spans="2:79">
      <c r="BI57" s="740"/>
      <c r="BJ57" s="461"/>
      <c r="BK57" s="195"/>
      <c r="BL57" s="195"/>
      <c r="BM57" s="740"/>
    </row>
  </sheetData>
  <mergeCells count="24">
    <mergeCell ref="AF4:AM4"/>
    <mergeCell ref="AF21:AM21"/>
    <mergeCell ref="AF38:AM38"/>
    <mergeCell ref="AS4:AY4"/>
    <mergeCell ref="AS21:AY21"/>
    <mergeCell ref="AS38:AY38"/>
    <mergeCell ref="G38:N38"/>
    <mergeCell ref="G21:N21"/>
    <mergeCell ref="G4:N4"/>
    <mergeCell ref="S4:Z4"/>
    <mergeCell ref="S21:Z21"/>
    <mergeCell ref="S38:Z38"/>
    <mergeCell ref="BE21:BL21"/>
    <mergeCell ref="BE38:BL38"/>
    <mergeCell ref="BQ4:BX4"/>
    <mergeCell ref="BQ21:BX21"/>
    <mergeCell ref="BQ38:BX38"/>
    <mergeCell ref="BE4:BL4"/>
    <mergeCell ref="BQ1:BX1"/>
    <mergeCell ref="G1:N1"/>
    <mergeCell ref="S1:Z1"/>
    <mergeCell ref="AF1:AM1"/>
    <mergeCell ref="AS1:AY1"/>
    <mergeCell ref="BE1:BL1"/>
  </mergeCells>
  <pageMargins left="0.7" right="0.7" top="0.75" bottom="0.75" header="0.3" footer="0.3"/>
  <pageSetup paperSize="9" orientation="portrait" r:id="rId1"/>
  <ignoredErrors>
    <ignoredError sqref="M47:N47 H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1EB1-20F7-4BEA-A763-58331BFCC3D1}">
  <dimension ref="A1:AU128"/>
  <sheetViews>
    <sheetView topLeftCell="C1" zoomScale="70" zoomScaleNormal="70" workbookViewId="0">
      <pane xSplit="5" ySplit="6" topLeftCell="K95" activePane="bottomRight" state="frozen"/>
      <selection activeCell="C1" sqref="C1"/>
      <selection pane="topRight" activeCell="H1" sqref="H1"/>
      <selection pane="bottomLeft" activeCell="C7" sqref="C7"/>
      <selection pane="bottomRight" activeCell="T120" sqref="T120"/>
    </sheetView>
  </sheetViews>
  <sheetFormatPr defaultColWidth="8.77734375" defaultRowHeight="14.4"/>
  <cols>
    <col min="1" max="1" width="8.77734375" hidden="1" customWidth="1"/>
    <col min="2" max="2" width="15.44140625" hidden="1" customWidth="1"/>
    <col min="3" max="3" width="17.77734375" customWidth="1"/>
    <col min="4" max="7" width="17.77734375" hidden="1" customWidth="1"/>
    <col min="8" max="8" width="12.77734375" style="18" customWidth="1"/>
    <col min="9" max="9" width="12.77734375" style="607" customWidth="1"/>
    <col min="10" max="10" width="9.77734375" style="607" customWidth="1"/>
    <col min="11" max="11" width="12.77734375" style="607" customWidth="1"/>
    <col min="12" max="12" width="9.77734375" style="607" customWidth="1"/>
    <col min="13" max="13" width="12.77734375" style="607" customWidth="1"/>
    <col min="14" max="14" width="9.77734375" style="607" customWidth="1"/>
    <col min="15" max="15" width="9.77734375" customWidth="1"/>
    <col min="16" max="16" width="12.77734375" customWidth="1"/>
    <col min="17" max="18" width="9.77734375" customWidth="1"/>
    <col min="19" max="19" width="12.77734375" customWidth="1"/>
    <col min="20" max="20" width="12.77734375" style="607" customWidth="1"/>
    <col min="21" max="21" width="9.77734375" customWidth="1"/>
    <col min="22" max="22" width="12.77734375" style="607" customWidth="1"/>
    <col min="23" max="23" width="9.77734375" style="607" customWidth="1"/>
    <col min="24" max="24" width="12.77734375" style="607" customWidth="1"/>
    <col min="25" max="25" width="9.77734375" style="607" customWidth="1"/>
    <col min="26" max="26" width="9.77734375" customWidth="1"/>
    <col min="27" max="27" width="12.77734375" customWidth="1"/>
    <col min="28" max="28" width="9.77734375" style="608" customWidth="1"/>
    <col min="29" max="29" width="9.77734375" customWidth="1"/>
    <col min="30" max="30" width="12.77734375" customWidth="1"/>
    <col min="31" max="31" width="12.77734375" style="607" customWidth="1"/>
    <col min="32" max="32" width="9.77734375" customWidth="1"/>
    <col min="33" max="33" width="12.77734375" style="607" customWidth="1"/>
    <col min="34" max="34" width="9.77734375" style="607" customWidth="1"/>
    <col min="35" max="35" width="12.77734375" style="607" customWidth="1"/>
    <col min="36" max="36" width="9.77734375" style="607" customWidth="1"/>
    <col min="37" max="37" width="9.77734375" customWidth="1"/>
    <col min="38" max="38" width="12.77734375" customWidth="1"/>
    <col min="39" max="44" width="9.77734375" customWidth="1"/>
    <col min="45" max="45" width="9.77734375" style="18" customWidth="1"/>
    <col min="46" max="47" width="44.77734375" customWidth="1"/>
  </cols>
  <sheetData>
    <row r="1" spans="1:47" s="417" customFormat="1" ht="22.2" customHeight="1" thickBot="1">
      <c r="C1" s="467"/>
      <c r="D1" s="468" t="s">
        <v>7</v>
      </c>
      <c r="E1" s="469" t="s">
        <v>8</v>
      </c>
      <c r="F1" s="469" t="s">
        <v>10</v>
      </c>
      <c r="G1" s="470" t="s">
        <v>9</v>
      </c>
      <c r="H1" s="761" t="s">
        <v>124</v>
      </c>
      <c r="I1" s="762"/>
      <c r="J1" s="762"/>
      <c r="K1" s="762"/>
      <c r="L1" s="762"/>
      <c r="M1" s="762"/>
      <c r="N1" s="762"/>
      <c r="O1" s="762"/>
      <c r="P1" s="762"/>
      <c r="Q1" s="762"/>
      <c r="R1" s="763"/>
      <c r="S1" s="764" t="s">
        <v>125</v>
      </c>
      <c r="T1" s="765"/>
      <c r="U1" s="765"/>
      <c r="V1" s="765"/>
      <c r="W1" s="765"/>
      <c r="X1" s="765"/>
      <c r="Y1" s="765"/>
      <c r="Z1" s="765"/>
      <c r="AA1" s="765"/>
      <c r="AB1" s="765"/>
      <c r="AC1" s="766"/>
      <c r="AD1" s="767" t="s">
        <v>126</v>
      </c>
      <c r="AE1" s="768"/>
      <c r="AF1" s="768"/>
      <c r="AG1" s="768"/>
      <c r="AH1" s="768"/>
      <c r="AI1" s="768"/>
      <c r="AJ1" s="768"/>
      <c r="AK1" s="768"/>
      <c r="AL1" s="768"/>
      <c r="AM1" s="768"/>
      <c r="AN1" s="768"/>
      <c r="AO1" s="768"/>
      <c r="AP1" s="768"/>
      <c r="AQ1" s="768"/>
      <c r="AR1" s="768"/>
      <c r="AS1" s="769"/>
      <c r="AT1" s="471"/>
      <c r="AU1" s="471"/>
    </row>
    <row r="2" spans="1:47" ht="58.2" thickBot="1">
      <c r="C2" s="472" t="s">
        <v>39</v>
      </c>
      <c r="D2" s="472"/>
      <c r="E2" s="472"/>
      <c r="F2" s="472"/>
      <c r="G2" s="473"/>
      <c r="H2" s="474" t="s">
        <v>119</v>
      </c>
      <c r="I2" s="475" t="s">
        <v>26</v>
      </c>
      <c r="J2" s="475" t="s">
        <v>48</v>
      </c>
      <c r="K2" s="476" t="s">
        <v>28</v>
      </c>
      <c r="L2" s="476" t="s">
        <v>103</v>
      </c>
      <c r="M2" s="477" t="s">
        <v>31</v>
      </c>
      <c r="N2" s="478" t="s">
        <v>30</v>
      </c>
      <c r="O2" s="477" t="s">
        <v>32</v>
      </c>
      <c r="P2" s="479" t="s">
        <v>107</v>
      </c>
      <c r="Q2" s="479" t="s">
        <v>120</v>
      </c>
      <c r="R2" s="480" t="s">
        <v>34</v>
      </c>
      <c r="S2" s="474" t="s">
        <v>119</v>
      </c>
      <c r="T2" s="475" t="s">
        <v>26</v>
      </c>
      <c r="U2" s="475" t="s">
        <v>48</v>
      </c>
      <c r="V2" s="476" t="s">
        <v>28</v>
      </c>
      <c r="W2" s="476" t="s">
        <v>103</v>
      </c>
      <c r="X2" s="477" t="s">
        <v>31</v>
      </c>
      <c r="Y2" s="478" t="s">
        <v>30</v>
      </c>
      <c r="Z2" s="477" t="s">
        <v>32</v>
      </c>
      <c r="AA2" s="479" t="s">
        <v>107</v>
      </c>
      <c r="AB2" s="479" t="s">
        <v>120</v>
      </c>
      <c r="AC2" s="481" t="s">
        <v>34</v>
      </c>
      <c r="AD2" s="474" t="s">
        <v>119</v>
      </c>
      <c r="AE2" s="475" t="s">
        <v>26</v>
      </c>
      <c r="AF2" s="475" t="s">
        <v>48</v>
      </c>
      <c r="AG2" s="476" t="s">
        <v>28</v>
      </c>
      <c r="AH2" s="476" t="s">
        <v>103</v>
      </c>
      <c r="AI2" s="477" t="s">
        <v>31</v>
      </c>
      <c r="AJ2" s="478" t="s">
        <v>30</v>
      </c>
      <c r="AK2" s="477" t="s">
        <v>32</v>
      </c>
      <c r="AL2" s="479" t="s">
        <v>107</v>
      </c>
      <c r="AM2" s="479" t="s">
        <v>120</v>
      </c>
      <c r="AN2" s="480" t="s">
        <v>34</v>
      </c>
      <c r="AO2" s="482" t="s">
        <v>127</v>
      </c>
      <c r="AP2" s="483" t="s">
        <v>128</v>
      </c>
      <c r="AQ2" s="484" t="s">
        <v>129</v>
      </c>
      <c r="AR2" s="485" t="s">
        <v>130</v>
      </c>
      <c r="AS2" s="486" t="s">
        <v>131</v>
      </c>
      <c r="AT2" s="487" t="s">
        <v>132</v>
      </c>
      <c r="AU2" s="488" t="s">
        <v>133</v>
      </c>
    </row>
    <row r="3" spans="1:47" ht="30" customHeight="1">
      <c r="C3" s="489" t="s">
        <v>134</v>
      </c>
      <c r="D3" s="490"/>
      <c r="E3" s="490"/>
      <c r="F3" s="490"/>
      <c r="G3" s="491"/>
      <c r="H3" s="492">
        <v>1779259.9833112673</v>
      </c>
      <c r="I3" s="493">
        <v>180488.90393825859</v>
      </c>
      <c r="J3" s="494">
        <v>9.8580020405016935</v>
      </c>
      <c r="K3" s="495">
        <v>126103.0702903444</v>
      </c>
      <c r="L3" s="496">
        <v>0.3013250812721342</v>
      </c>
      <c r="M3" s="493">
        <v>84144.346065116275</v>
      </c>
      <c r="N3" s="496">
        <v>0.33273356571430657</v>
      </c>
      <c r="O3" s="494">
        <v>21.145330215465247</v>
      </c>
      <c r="P3" s="493">
        <v>22677.398726433523</v>
      </c>
      <c r="Q3" s="497">
        <v>0.17983224892320412</v>
      </c>
      <c r="R3" s="498">
        <v>78.459615442458272</v>
      </c>
      <c r="S3" s="494">
        <v>1195959.1296999999</v>
      </c>
      <c r="T3" s="493">
        <v>155141.22748497067</v>
      </c>
      <c r="U3" s="494">
        <v>7.7088414800370106</v>
      </c>
      <c r="V3" s="495">
        <v>101125.55848340936</v>
      </c>
      <c r="W3" s="496">
        <v>0.34817095286160532</v>
      </c>
      <c r="X3" s="493">
        <v>63991.876790048867</v>
      </c>
      <c r="Y3" s="496">
        <v>0.36720372426375908</v>
      </c>
      <c r="Z3" s="494">
        <v>18.689233535434905</v>
      </c>
      <c r="AA3" s="493">
        <v>14926.90067643096</v>
      </c>
      <c r="AB3" s="497">
        <v>0.14760759693485268</v>
      </c>
      <c r="AC3" s="499">
        <v>80.121061674134168</v>
      </c>
      <c r="AD3" s="492">
        <v>583300.8536112674</v>
      </c>
      <c r="AE3" s="493">
        <v>25347.676453287906</v>
      </c>
      <c r="AF3" s="494">
        <v>23.012004855206605</v>
      </c>
      <c r="AG3" s="495">
        <v>24977.511806935043</v>
      </c>
      <c r="AH3" s="496">
        <v>1.4603494211196163E-2</v>
      </c>
      <c r="AI3" s="493">
        <v>20152.469275067404</v>
      </c>
      <c r="AJ3" s="496">
        <v>0.1931754679634646</v>
      </c>
      <c r="AK3" s="494">
        <v>28.94438620149274</v>
      </c>
      <c r="AL3" s="493">
        <v>7750.498050002564</v>
      </c>
      <c r="AM3" s="497">
        <v>0.31029904459300972</v>
      </c>
      <c r="AN3" s="498">
        <v>75.259789738425184</v>
      </c>
      <c r="AO3" s="500">
        <v>0.85</v>
      </c>
      <c r="AP3" s="497">
        <v>0.75</v>
      </c>
      <c r="AQ3" s="500">
        <v>0.8</v>
      </c>
      <c r="AR3" s="501" t="s">
        <v>123</v>
      </c>
      <c r="AS3" s="502" t="s">
        <v>123</v>
      </c>
      <c r="AT3" s="770"/>
      <c r="AU3" s="771"/>
    </row>
    <row r="4" spans="1:47" ht="30" hidden="1" customHeight="1" thickBot="1">
      <c r="C4" s="490" t="s">
        <v>135</v>
      </c>
      <c r="D4" s="490"/>
      <c r="E4" s="490"/>
      <c r="F4" s="490"/>
      <c r="G4" s="491"/>
      <c r="H4" s="492">
        <v>136866.15256240519</v>
      </c>
      <c r="I4" s="493">
        <v>13883.761841404506</v>
      </c>
      <c r="J4" s="494">
        <v>9.8580020405016953</v>
      </c>
      <c r="K4" s="495">
        <v>9700.2361761803386</v>
      </c>
      <c r="L4" s="503">
        <v>0.30132508127213414</v>
      </c>
      <c r="M4" s="493">
        <v>6472.6420050089446</v>
      </c>
      <c r="N4" s="496">
        <v>0.33273356571430651</v>
      </c>
      <c r="O4" s="494">
        <v>21.145330215465247</v>
      </c>
      <c r="P4" s="493">
        <v>1744.4152866487325</v>
      </c>
      <c r="Q4" s="497">
        <v>0.17983224892320412</v>
      </c>
      <c r="R4" s="498">
        <v>78.459615442458286</v>
      </c>
      <c r="S4" s="494">
        <v>91996.856130769229</v>
      </c>
      <c r="T4" s="493">
        <v>11933.940575766976</v>
      </c>
      <c r="U4" s="494">
        <v>7.7088414800370106</v>
      </c>
      <c r="V4" s="495">
        <v>7778.8891141084123</v>
      </c>
      <c r="W4" s="503">
        <v>0.34817095286160538</v>
      </c>
      <c r="X4" s="493">
        <v>4922.4520607729901</v>
      </c>
      <c r="Y4" s="496">
        <v>0.36720372426375902</v>
      </c>
      <c r="Z4" s="494">
        <v>18.689233535434905</v>
      </c>
      <c r="AA4" s="493">
        <v>1148.2231289562276</v>
      </c>
      <c r="AB4" s="497">
        <v>0.14760759693485265</v>
      </c>
      <c r="AC4" s="499">
        <v>80.121061674134182</v>
      </c>
      <c r="AD4" s="492">
        <v>44869.296431635958</v>
      </c>
      <c r="AE4" s="493">
        <v>1949.8212656375313</v>
      </c>
      <c r="AF4" s="494">
        <v>23.012004855206605</v>
      </c>
      <c r="AG4" s="495">
        <v>1921.3470620719263</v>
      </c>
      <c r="AH4" s="503">
        <v>1.4603494211196215E-2</v>
      </c>
      <c r="AI4" s="493">
        <v>1550.189944235954</v>
      </c>
      <c r="AJ4" s="496">
        <v>0.1931754679634646</v>
      </c>
      <c r="AK4" s="494">
        <v>28.944386201492748</v>
      </c>
      <c r="AL4" s="504">
        <v>596.19215769250491</v>
      </c>
      <c r="AM4" s="497">
        <v>0.31029904459300972</v>
      </c>
      <c r="AN4" s="498">
        <v>75.259789738425198</v>
      </c>
      <c r="AO4" s="500">
        <v>0.85</v>
      </c>
      <c r="AP4" s="497">
        <v>0.75</v>
      </c>
      <c r="AQ4" s="500">
        <v>0.8</v>
      </c>
      <c r="AR4" s="501" t="s">
        <v>123</v>
      </c>
      <c r="AS4" s="502" t="s">
        <v>123</v>
      </c>
      <c r="AT4" s="772"/>
      <c r="AU4" s="773"/>
    </row>
    <row r="5" spans="1:47" ht="30" hidden="1" customHeight="1">
      <c r="C5" s="505" t="s">
        <v>136</v>
      </c>
      <c r="D5" s="506"/>
      <c r="E5" s="506"/>
      <c r="F5" s="506"/>
      <c r="G5" s="507"/>
      <c r="H5" s="508">
        <v>914185.30000000016</v>
      </c>
      <c r="I5" s="509">
        <v>82412</v>
      </c>
      <c r="J5" s="510">
        <v>11.092866330146098</v>
      </c>
      <c r="K5" s="511">
        <v>52772</v>
      </c>
      <c r="L5" s="512">
        <v>0.3596563607241664</v>
      </c>
      <c r="M5" s="509">
        <v>30369</v>
      </c>
      <c r="N5" s="513">
        <v>0.42452436898355189</v>
      </c>
      <c r="O5" s="514">
        <v>30.102581579900562</v>
      </c>
      <c r="P5" s="509">
        <v>10673</v>
      </c>
      <c r="Q5" s="515">
        <v>0.20224740392632456</v>
      </c>
      <c r="R5" s="516">
        <v>85.654014803710311</v>
      </c>
      <c r="S5" s="510">
        <v>640919.09000000008</v>
      </c>
      <c r="T5" s="509">
        <v>70355</v>
      </c>
      <c r="U5" s="514">
        <v>9.1097873640821554</v>
      </c>
      <c r="V5" s="511">
        <v>41215</v>
      </c>
      <c r="W5" s="512">
        <v>0.41418520361026223</v>
      </c>
      <c r="X5" s="509">
        <v>22388</v>
      </c>
      <c r="Y5" s="513">
        <v>0.4567997088438675</v>
      </c>
      <c r="Z5" s="514">
        <v>28.627795694121854</v>
      </c>
      <c r="AA5" s="509">
        <v>7255</v>
      </c>
      <c r="AB5" s="515">
        <v>0.17602814509280601</v>
      </c>
      <c r="AC5" s="517">
        <v>88.341707787732616</v>
      </c>
      <c r="AD5" s="508">
        <v>273266.21000000008</v>
      </c>
      <c r="AE5" s="509">
        <v>12057</v>
      </c>
      <c r="AF5" s="514">
        <v>22.664527660280342</v>
      </c>
      <c r="AG5" s="511">
        <v>11557</v>
      </c>
      <c r="AH5" s="512">
        <v>4.14696856597827E-2</v>
      </c>
      <c r="AI5" s="509">
        <v>7981</v>
      </c>
      <c r="AJ5" s="513">
        <v>0.30942286060396296</v>
      </c>
      <c r="AK5" s="514">
        <v>34.239595288810939</v>
      </c>
      <c r="AL5" s="509">
        <v>3418</v>
      </c>
      <c r="AM5" s="515">
        <v>0.29575149260188632</v>
      </c>
      <c r="AN5" s="516">
        <v>79.949154476301956</v>
      </c>
      <c r="AO5" s="518" t="s">
        <v>123</v>
      </c>
      <c r="AP5" s="515" t="s">
        <v>123</v>
      </c>
      <c r="AQ5" s="518">
        <v>0.87939999999999996</v>
      </c>
      <c r="AR5" s="519">
        <v>0.91669999999999996</v>
      </c>
      <c r="AS5" s="520">
        <v>1.24</v>
      </c>
      <c r="AT5" s="521"/>
      <c r="AU5" s="522"/>
    </row>
    <row r="6" spans="1:47" ht="30" hidden="1" customHeight="1">
      <c r="C6" s="523" t="s">
        <v>137</v>
      </c>
      <c r="D6" s="524"/>
      <c r="E6" s="524"/>
      <c r="F6" s="524"/>
      <c r="G6" s="525"/>
      <c r="H6" s="526">
        <v>2668392.3766666637</v>
      </c>
      <c r="I6" s="527">
        <v>309672</v>
      </c>
      <c r="J6" s="528">
        <v>8.6168345109233755</v>
      </c>
      <c r="K6" s="529">
        <v>212746</v>
      </c>
      <c r="L6" s="530">
        <v>0.3129956857578341</v>
      </c>
      <c r="M6" s="527">
        <v>130484.0273777332</v>
      </c>
      <c r="N6" s="531">
        <v>0.38666754073997534</v>
      </c>
      <c r="O6" s="532">
        <v>20.449954146050665</v>
      </c>
      <c r="P6" s="527">
        <v>36605</v>
      </c>
      <c r="Q6" s="533">
        <v>0.1720596391941564</v>
      </c>
      <c r="R6" s="534">
        <v>72.896936939398003</v>
      </c>
      <c r="S6" s="528">
        <v>2162390.1683333302</v>
      </c>
      <c r="T6" s="527">
        <v>284783</v>
      </c>
      <c r="U6" s="532">
        <v>7.5931153486455658</v>
      </c>
      <c r="V6" s="529">
        <v>188060</v>
      </c>
      <c r="W6" s="530">
        <v>0.33963754858962791</v>
      </c>
      <c r="X6" s="527">
        <v>113687.65498649009</v>
      </c>
      <c r="Y6" s="531">
        <v>0.39547136559348034</v>
      </c>
      <c r="Z6" s="532">
        <v>19.020448337950985</v>
      </c>
      <c r="AA6" s="527">
        <v>31402</v>
      </c>
      <c r="AB6" s="533">
        <v>0.16697862384345422</v>
      </c>
      <c r="AC6" s="535">
        <v>68.861542842281708</v>
      </c>
      <c r="AD6" s="526">
        <v>506002.20833333349</v>
      </c>
      <c r="AE6" s="527">
        <v>24889</v>
      </c>
      <c r="AF6" s="532">
        <v>20.330355110021838</v>
      </c>
      <c r="AG6" s="529">
        <v>24686</v>
      </c>
      <c r="AH6" s="530">
        <v>8.1562135883321944E-3</v>
      </c>
      <c r="AI6" s="527">
        <v>16796.372391243116</v>
      </c>
      <c r="AJ6" s="531">
        <v>0.31959927119650344</v>
      </c>
      <c r="AK6" s="532">
        <v>30.125684079089638</v>
      </c>
      <c r="AL6" s="527">
        <v>5203</v>
      </c>
      <c r="AM6" s="533">
        <v>0.21076723649031839</v>
      </c>
      <c r="AN6" s="534">
        <v>97.252010058299732</v>
      </c>
      <c r="AO6" s="536" t="s">
        <v>123</v>
      </c>
      <c r="AP6" s="533" t="s">
        <v>123</v>
      </c>
      <c r="AQ6" s="536">
        <v>0.64349999999999996</v>
      </c>
      <c r="AR6" s="537"/>
      <c r="AS6" s="538"/>
      <c r="AT6" s="539"/>
      <c r="AU6" s="540"/>
    </row>
    <row r="7" spans="1:47" ht="49.5" customHeight="1">
      <c r="C7" s="758" t="s">
        <v>138</v>
      </c>
      <c r="D7" s="541"/>
      <c r="E7" s="541"/>
      <c r="F7" s="541"/>
      <c r="G7" s="542" t="s">
        <v>139</v>
      </c>
      <c r="H7" s="543">
        <v>41768.060000000005</v>
      </c>
      <c r="I7" s="544">
        <v>4084</v>
      </c>
      <c r="J7" s="545">
        <v>10.227242899118512</v>
      </c>
      <c r="K7" s="546">
        <v>2432</v>
      </c>
      <c r="L7" s="547">
        <v>0.40450538687561216</v>
      </c>
      <c r="M7" s="544">
        <v>1267</v>
      </c>
      <c r="N7" s="548">
        <v>0.47902960526315791</v>
      </c>
      <c r="O7" s="549">
        <v>32.966108918705608</v>
      </c>
      <c r="P7" s="544">
        <v>417</v>
      </c>
      <c r="Q7" s="548">
        <v>0.17146381578947367</v>
      </c>
      <c r="R7" s="550">
        <v>100.1632134292566</v>
      </c>
      <c r="S7" s="545">
        <v>31116.54</v>
      </c>
      <c r="T7" s="544">
        <v>3612</v>
      </c>
      <c r="U7" s="545">
        <v>8.6147674418604652</v>
      </c>
      <c r="V7" s="546">
        <v>1919</v>
      </c>
      <c r="W7" s="547">
        <v>0.46871539313399779</v>
      </c>
      <c r="X7" s="544">
        <v>921</v>
      </c>
      <c r="Y7" s="548">
        <v>0.52006253256904633</v>
      </c>
      <c r="Z7" s="549">
        <v>33.78560260586319</v>
      </c>
      <c r="AA7" s="544">
        <v>264</v>
      </c>
      <c r="AB7" s="548">
        <v>0.1375716519020323</v>
      </c>
      <c r="AC7" s="551">
        <v>117.86568181818183</v>
      </c>
      <c r="AD7" s="552">
        <v>10651.52</v>
      </c>
      <c r="AE7" s="553">
        <v>472</v>
      </c>
      <c r="AF7" s="545">
        <v>22.566779661016952</v>
      </c>
      <c r="AG7" s="546">
        <v>513</v>
      </c>
      <c r="AH7" s="547">
        <v>-8.6864406779661021E-2</v>
      </c>
      <c r="AI7" s="553">
        <v>346</v>
      </c>
      <c r="AJ7" s="548">
        <v>0.32553606237816762</v>
      </c>
      <c r="AK7" s="549">
        <v>30.784739884393066</v>
      </c>
      <c r="AL7" s="554">
        <v>153</v>
      </c>
      <c r="AM7" s="548">
        <v>0.2982456140350877</v>
      </c>
      <c r="AN7" s="550">
        <v>69.617777777777775</v>
      </c>
      <c r="AO7" s="548">
        <v>0.81459999999999999</v>
      </c>
      <c r="AP7" s="555">
        <v>0.79859999999999998</v>
      </c>
      <c r="AQ7" s="556">
        <v>0.8034</v>
      </c>
      <c r="AR7" s="557">
        <v>0.81310000000000004</v>
      </c>
      <c r="AS7" s="558">
        <v>1.84</v>
      </c>
      <c r="AT7" s="559"/>
      <c r="AU7" s="560"/>
    </row>
    <row r="8" spans="1:47" ht="21" hidden="1" customHeight="1">
      <c r="A8" t="s">
        <v>140</v>
      </c>
      <c r="B8" t="s">
        <v>141</v>
      </c>
      <c r="C8" s="759"/>
      <c r="D8" s="561" t="s">
        <v>40</v>
      </c>
      <c r="E8" s="561" t="s">
        <v>142</v>
      </c>
      <c r="F8" s="561" t="s">
        <v>44</v>
      </c>
      <c r="G8" s="562" t="s">
        <v>42</v>
      </c>
      <c r="H8" s="563">
        <v>1580.24</v>
      </c>
      <c r="I8" s="564">
        <v>104</v>
      </c>
      <c r="J8" s="565">
        <v>15.194615384615386</v>
      </c>
      <c r="K8" s="566">
        <v>113</v>
      </c>
      <c r="L8" s="567">
        <v>-8.6538461538461536E-2</v>
      </c>
      <c r="M8" s="564">
        <v>85</v>
      </c>
      <c r="N8" s="568">
        <v>0.24778761061946902</v>
      </c>
      <c r="O8" s="565">
        <v>18.591058823529412</v>
      </c>
      <c r="P8" s="564">
        <v>52</v>
      </c>
      <c r="Q8" s="569">
        <v>0.46017699115044247</v>
      </c>
      <c r="R8" s="570">
        <v>30.389230769230771</v>
      </c>
      <c r="S8" s="565" t="s">
        <v>123</v>
      </c>
      <c r="T8" s="564" t="s">
        <v>123</v>
      </c>
      <c r="U8" s="565" t="s">
        <v>123</v>
      </c>
      <c r="V8" s="566" t="s">
        <v>123</v>
      </c>
      <c r="W8" s="567" t="s">
        <v>123</v>
      </c>
      <c r="X8" s="564" t="s">
        <v>123</v>
      </c>
      <c r="Y8" s="568" t="s">
        <v>123</v>
      </c>
      <c r="Z8" s="565" t="s">
        <v>123</v>
      </c>
      <c r="AA8" s="564" t="s">
        <v>123</v>
      </c>
      <c r="AB8" s="569" t="s">
        <v>123</v>
      </c>
      <c r="AC8" s="571" t="s">
        <v>123</v>
      </c>
      <c r="AD8" s="572">
        <v>1580.24</v>
      </c>
      <c r="AE8" s="573">
        <v>104</v>
      </c>
      <c r="AF8" s="565">
        <v>15.194615384615386</v>
      </c>
      <c r="AG8" s="566">
        <v>113</v>
      </c>
      <c r="AH8" s="567">
        <v>-8.6538461538461536E-2</v>
      </c>
      <c r="AI8" s="564">
        <v>85</v>
      </c>
      <c r="AJ8" s="568">
        <v>0.24778761061946902</v>
      </c>
      <c r="AK8" s="565">
        <v>18.591058823529412</v>
      </c>
      <c r="AL8" s="574">
        <v>52</v>
      </c>
      <c r="AM8" s="569">
        <v>0.46017699115044247</v>
      </c>
      <c r="AN8" s="570">
        <v>30.389230769230771</v>
      </c>
      <c r="AO8" s="569"/>
      <c r="AP8" s="575"/>
      <c r="AQ8" s="576"/>
      <c r="AR8" s="577"/>
      <c r="AS8" s="578"/>
      <c r="AT8" s="579"/>
      <c r="AU8" s="580"/>
    </row>
    <row r="9" spans="1:47" ht="21" hidden="1" customHeight="1">
      <c r="A9" t="s">
        <v>143</v>
      </c>
      <c r="B9" t="s">
        <v>144</v>
      </c>
      <c r="C9" s="759"/>
      <c r="D9" s="561" t="s">
        <v>52</v>
      </c>
      <c r="E9" s="561" t="s">
        <v>145</v>
      </c>
      <c r="F9" s="561" t="s">
        <v>44</v>
      </c>
      <c r="G9" s="562" t="s">
        <v>42</v>
      </c>
      <c r="H9" s="563">
        <v>2450.2600000000002</v>
      </c>
      <c r="I9" s="564">
        <v>110</v>
      </c>
      <c r="J9" s="565">
        <v>22.27509090909091</v>
      </c>
      <c r="K9" s="566">
        <v>134</v>
      </c>
      <c r="L9" s="567">
        <v>-0.21818181818181817</v>
      </c>
      <c r="M9" s="564">
        <v>82</v>
      </c>
      <c r="N9" s="568">
        <v>0.38805970149253732</v>
      </c>
      <c r="O9" s="565">
        <v>29.881219512195123</v>
      </c>
      <c r="P9" s="564">
        <v>31</v>
      </c>
      <c r="Q9" s="569">
        <v>0.23134328358208955</v>
      </c>
      <c r="R9" s="570">
        <v>79.040645161290328</v>
      </c>
      <c r="S9" s="565" t="s">
        <v>123</v>
      </c>
      <c r="T9" s="564" t="s">
        <v>123</v>
      </c>
      <c r="U9" s="565" t="s">
        <v>123</v>
      </c>
      <c r="V9" s="566" t="s">
        <v>123</v>
      </c>
      <c r="W9" s="567" t="s">
        <v>123</v>
      </c>
      <c r="X9" s="564" t="s">
        <v>123</v>
      </c>
      <c r="Y9" s="568" t="s">
        <v>123</v>
      </c>
      <c r="Z9" s="565" t="s">
        <v>123</v>
      </c>
      <c r="AA9" s="564" t="s">
        <v>123</v>
      </c>
      <c r="AB9" s="569" t="s">
        <v>123</v>
      </c>
      <c r="AC9" s="571" t="s">
        <v>123</v>
      </c>
      <c r="AD9" s="572">
        <v>2450.2600000000002</v>
      </c>
      <c r="AE9" s="573">
        <v>110</v>
      </c>
      <c r="AF9" s="565">
        <v>22.27509090909091</v>
      </c>
      <c r="AG9" s="566">
        <v>134</v>
      </c>
      <c r="AH9" s="567">
        <v>-0.21818181818181817</v>
      </c>
      <c r="AI9" s="564">
        <v>82</v>
      </c>
      <c r="AJ9" s="568">
        <v>0.38805970149253732</v>
      </c>
      <c r="AK9" s="565">
        <v>29.881219512195123</v>
      </c>
      <c r="AL9" s="574">
        <v>31</v>
      </c>
      <c r="AM9" s="569">
        <v>0.23134328358208955</v>
      </c>
      <c r="AN9" s="570">
        <v>79.040645161290328</v>
      </c>
      <c r="AO9" s="569"/>
      <c r="AP9" s="575"/>
      <c r="AQ9" s="576"/>
      <c r="AR9" s="577"/>
      <c r="AS9" s="578"/>
      <c r="AT9" s="579"/>
      <c r="AU9" s="580"/>
    </row>
    <row r="10" spans="1:47" ht="21" hidden="1" customHeight="1">
      <c r="A10" t="s">
        <v>146</v>
      </c>
      <c r="B10" t="s">
        <v>147</v>
      </c>
      <c r="C10" s="759"/>
      <c r="D10" s="561" t="s">
        <v>40</v>
      </c>
      <c r="E10" s="561" t="s">
        <v>57</v>
      </c>
      <c r="F10" s="561" t="s">
        <v>57</v>
      </c>
      <c r="G10" s="562" t="s">
        <v>42</v>
      </c>
      <c r="H10" s="563">
        <v>162.16999999999999</v>
      </c>
      <c r="I10" s="564">
        <v>27</v>
      </c>
      <c r="J10" s="565">
        <v>6.0062962962962958</v>
      </c>
      <c r="K10" s="566">
        <v>29</v>
      </c>
      <c r="L10" s="567">
        <v>-7.407407407407407E-2</v>
      </c>
      <c r="M10" s="564">
        <v>11</v>
      </c>
      <c r="N10" s="568">
        <v>0.62068965517241381</v>
      </c>
      <c r="O10" s="565">
        <v>14.742727272727272</v>
      </c>
      <c r="P10" s="564">
        <v>3</v>
      </c>
      <c r="Q10" s="569">
        <v>0.10344827586206896</v>
      </c>
      <c r="R10" s="570">
        <v>54.056666666666665</v>
      </c>
      <c r="S10" s="565">
        <v>162.16999999999999</v>
      </c>
      <c r="T10" s="564">
        <v>27</v>
      </c>
      <c r="U10" s="565">
        <v>6.0062962962962958</v>
      </c>
      <c r="V10" s="566">
        <v>29</v>
      </c>
      <c r="W10" s="567">
        <v>-7.407407407407407E-2</v>
      </c>
      <c r="X10" s="564">
        <v>11</v>
      </c>
      <c r="Y10" s="568">
        <v>0.62068965517241381</v>
      </c>
      <c r="Z10" s="565">
        <v>14.742727272727272</v>
      </c>
      <c r="AA10" s="564">
        <v>3</v>
      </c>
      <c r="AB10" s="569">
        <v>0.10344827586206896</v>
      </c>
      <c r="AC10" s="571">
        <v>54.056666666666665</v>
      </c>
      <c r="AD10" s="572" t="s">
        <v>123</v>
      </c>
      <c r="AE10" s="573" t="s">
        <v>123</v>
      </c>
      <c r="AF10" s="565" t="s">
        <v>123</v>
      </c>
      <c r="AG10" s="566" t="s">
        <v>123</v>
      </c>
      <c r="AH10" s="567" t="s">
        <v>123</v>
      </c>
      <c r="AI10" s="564" t="s">
        <v>123</v>
      </c>
      <c r="AJ10" s="568" t="s">
        <v>123</v>
      </c>
      <c r="AK10" s="565" t="s">
        <v>123</v>
      </c>
      <c r="AL10" s="574" t="s">
        <v>123</v>
      </c>
      <c r="AM10" s="569" t="s">
        <v>123</v>
      </c>
      <c r="AN10" s="570" t="s">
        <v>123</v>
      </c>
      <c r="AO10" s="569"/>
      <c r="AP10" s="575"/>
      <c r="AQ10" s="576"/>
      <c r="AR10" s="577"/>
      <c r="AS10" s="578"/>
      <c r="AT10" s="579"/>
      <c r="AU10" s="580"/>
    </row>
    <row r="11" spans="1:47" ht="21" hidden="1" customHeight="1">
      <c r="A11" t="s">
        <v>148</v>
      </c>
      <c r="B11" t="s">
        <v>149</v>
      </c>
      <c r="C11" s="759"/>
      <c r="D11" s="561" t="s">
        <v>52</v>
      </c>
      <c r="E11" s="561" t="s">
        <v>121</v>
      </c>
      <c r="F11" s="561" t="s">
        <v>44</v>
      </c>
      <c r="G11" s="562" t="s">
        <v>42</v>
      </c>
      <c r="H11" s="563">
        <v>494.7</v>
      </c>
      <c r="I11" s="564">
        <v>3</v>
      </c>
      <c r="J11" s="565">
        <v>164.9</v>
      </c>
      <c r="K11" s="566">
        <v>3</v>
      </c>
      <c r="L11" s="567">
        <v>0</v>
      </c>
      <c r="M11" s="564">
        <v>2</v>
      </c>
      <c r="N11" s="568">
        <v>0.33333333333333331</v>
      </c>
      <c r="O11" s="565">
        <v>247.35</v>
      </c>
      <c r="P11" s="564">
        <v>0</v>
      </c>
      <c r="Q11" s="569">
        <v>0</v>
      </c>
      <c r="R11" s="570" t="s">
        <v>123</v>
      </c>
      <c r="S11" s="565" t="s">
        <v>123</v>
      </c>
      <c r="T11" s="564" t="s">
        <v>123</v>
      </c>
      <c r="U11" s="565" t="s">
        <v>123</v>
      </c>
      <c r="V11" s="566" t="s">
        <v>123</v>
      </c>
      <c r="W11" s="567" t="s">
        <v>123</v>
      </c>
      <c r="X11" s="564" t="s">
        <v>123</v>
      </c>
      <c r="Y11" s="568" t="s">
        <v>123</v>
      </c>
      <c r="Z11" s="565" t="s">
        <v>123</v>
      </c>
      <c r="AA11" s="564" t="s">
        <v>123</v>
      </c>
      <c r="AB11" s="569" t="s">
        <v>123</v>
      </c>
      <c r="AC11" s="571" t="s">
        <v>123</v>
      </c>
      <c r="AD11" s="572">
        <v>494.7</v>
      </c>
      <c r="AE11" s="573">
        <v>3</v>
      </c>
      <c r="AF11" s="565">
        <v>164.9</v>
      </c>
      <c r="AG11" s="566">
        <v>3</v>
      </c>
      <c r="AH11" s="567">
        <v>0</v>
      </c>
      <c r="AI11" s="564">
        <v>2</v>
      </c>
      <c r="AJ11" s="568">
        <v>0.33333333333333331</v>
      </c>
      <c r="AK11" s="565">
        <v>247.35</v>
      </c>
      <c r="AL11" s="574">
        <v>0</v>
      </c>
      <c r="AM11" s="569">
        <v>0</v>
      </c>
      <c r="AN11" s="570" t="s">
        <v>123</v>
      </c>
      <c r="AO11" s="569"/>
      <c r="AP11" s="575"/>
      <c r="AQ11" s="576"/>
      <c r="AR11" s="577"/>
      <c r="AS11" s="578"/>
      <c r="AT11" s="579"/>
      <c r="AU11" s="580"/>
    </row>
    <row r="12" spans="1:47" ht="21" hidden="1" customHeight="1">
      <c r="A12" t="s">
        <v>150</v>
      </c>
      <c r="B12" t="s">
        <v>151</v>
      </c>
      <c r="C12" s="759"/>
      <c r="D12" s="561" t="s">
        <v>40</v>
      </c>
      <c r="E12" s="561" t="s">
        <v>142</v>
      </c>
      <c r="F12" s="561" t="s">
        <v>44</v>
      </c>
      <c r="G12" s="562" t="s">
        <v>60</v>
      </c>
      <c r="H12" s="563">
        <v>2957.48</v>
      </c>
      <c r="I12" s="564">
        <v>123</v>
      </c>
      <c r="J12" s="565">
        <v>24.044552845528454</v>
      </c>
      <c r="K12" s="566">
        <v>133</v>
      </c>
      <c r="L12" s="567">
        <v>-8.1300813008130079E-2</v>
      </c>
      <c r="M12" s="564">
        <v>86</v>
      </c>
      <c r="N12" s="568">
        <v>0.35338345864661652</v>
      </c>
      <c r="O12" s="565">
        <v>34.389302325581397</v>
      </c>
      <c r="P12" s="564">
        <v>39</v>
      </c>
      <c r="Q12" s="569">
        <v>0.2932330827067669</v>
      </c>
      <c r="R12" s="570">
        <v>75.832820512820518</v>
      </c>
      <c r="S12" s="565" t="s">
        <v>123</v>
      </c>
      <c r="T12" s="564" t="s">
        <v>123</v>
      </c>
      <c r="U12" s="565" t="s">
        <v>123</v>
      </c>
      <c r="V12" s="566" t="s">
        <v>123</v>
      </c>
      <c r="W12" s="567" t="s">
        <v>123</v>
      </c>
      <c r="X12" s="564" t="s">
        <v>123</v>
      </c>
      <c r="Y12" s="568" t="s">
        <v>123</v>
      </c>
      <c r="Z12" s="565" t="s">
        <v>123</v>
      </c>
      <c r="AA12" s="564" t="s">
        <v>123</v>
      </c>
      <c r="AB12" s="569" t="s">
        <v>123</v>
      </c>
      <c r="AC12" s="571" t="s">
        <v>123</v>
      </c>
      <c r="AD12" s="572">
        <v>2957.48</v>
      </c>
      <c r="AE12" s="573">
        <v>123</v>
      </c>
      <c r="AF12" s="565">
        <v>24.044552845528454</v>
      </c>
      <c r="AG12" s="566">
        <v>133</v>
      </c>
      <c r="AH12" s="567">
        <v>-8.1300813008130079E-2</v>
      </c>
      <c r="AI12" s="564">
        <v>86</v>
      </c>
      <c r="AJ12" s="568">
        <v>0.35338345864661652</v>
      </c>
      <c r="AK12" s="565">
        <v>34.389302325581397</v>
      </c>
      <c r="AL12" s="574">
        <v>39</v>
      </c>
      <c r="AM12" s="569">
        <v>0.2932330827067669</v>
      </c>
      <c r="AN12" s="570">
        <v>75.832820512820518</v>
      </c>
      <c r="AO12" s="569"/>
      <c r="AP12" s="575"/>
      <c r="AQ12" s="576">
        <v>0.81459999999999999</v>
      </c>
      <c r="AR12" s="577">
        <v>0.8448</v>
      </c>
      <c r="AS12" s="578"/>
      <c r="AT12" s="579"/>
      <c r="AU12" s="580"/>
    </row>
    <row r="13" spans="1:47" ht="21" hidden="1" customHeight="1">
      <c r="A13" t="s">
        <v>152</v>
      </c>
      <c r="B13" t="s">
        <v>153</v>
      </c>
      <c r="C13" s="759"/>
      <c r="D13" s="561" t="s">
        <v>52</v>
      </c>
      <c r="E13" s="561" t="s">
        <v>145</v>
      </c>
      <c r="F13" s="561" t="s">
        <v>44</v>
      </c>
      <c r="G13" s="562" t="s">
        <v>60</v>
      </c>
      <c r="H13" s="563">
        <v>3168.84</v>
      </c>
      <c r="I13" s="564">
        <v>132</v>
      </c>
      <c r="J13" s="565">
        <v>24.006363636363638</v>
      </c>
      <c r="K13" s="566">
        <v>130</v>
      </c>
      <c r="L13" s="567">
        <v>1.5151515151515152E-2</v>
      </c>
      <c r="M13" s="564">
        <v>91</v>
      </c>
      <c r="N13" s="568">
        <v>0.3</v>
      </c>
      <c r="O13" s="565">
        <v>34.822417582417586</v>
      </c>
      <c r="P13" s="564">
        <v>31</v>
      </c>
      <c r="Q13" s="569">
        <v>0.23846153846153847</v>
      </c>
      <c r="R13" s="570">
        <v>102.22064516129032</v>
      </c>
      <c r="S13" s="565" t="s">
        <v>123</v>
      </c>
      <c r="T13" s="564" t="s">
        <v>123</v>
      </c>
      <c r="U13" s="565" t="s">
        <v>123</v>
      </c>
      <c r="V13" s="566" t="s">
        <v>123</v>
      </c>
      <c r="W13" s="567" t="s">
        <v>123</v>
      </c>
      <c r="X13" s="564" t="s">
        <v>123</v>
      </c>
      <c r="Y13" s="568" t="s">
        <v>123</v>
      </c>
      <c r="Z13" s="565" t="s">
        <v>123</v>
      </c>
      <c r="AA13" s="564" t="s">
        <v>123</v>
      </c>
      <c r="AB13" s="569" t="s">
        <v>123</v>
      </c>
      <c r="AC13" s="571" t="s">
        <v>123</v>
      </c>
      <c r="AD13" s="572">
        <v>3168.84</v>
      </c>
      <c r="AE13" s="573">
        <v>132</v>
      </c>
      <c r="AF13" s="565">
        <v>24.006363636363638</v>
      </c>
      <c r="AG13" s="566">
        <v>130</v>
      </c>
      <c r="AH13" s="567">
        <v>1.5151515151515152E-2</v>
      </c>
      <c r="AI13" s="564">
        <v>91</v>
      </c>
      <c r="AJ13" s="568">
        <v>0.3</v>
      </c>
      <c r="AK13" s="565">
        <v>34.822417582417586</v>
      </c>
      <c r="AL13" s="574">
        <v>31</v>
      </c>
      <c r="AM13" s="569">
        <v>0.23846153846153847</v>
      </c>
      <c r="AN13" s="570">
        <v>102.22064516129032</v>
      </c>
      <c r="AO13" s="569"/>
      <c r="AP13" s="575"/>
      <c r="AQ13" s="576">
        <v>0.79859999999999998</v>
      </c>
      <c r="AR13" s="577">
        <v>0.79969999999999997</v>
      </c>
      <c r="AS13" s="578"/>
      <c r="AT13" s="579"/>
      <c r="AU13" s="580"/>
    </row>
    <row r="14" spans="1:47" ht="21" hidden="1" customHeight="1">
      <c r="A14" t="s">
        <v>154</v>
      </c>
      <c r="B14" t="s">
        <v>155</v>
      </c>
      <c r="C14" s="760"/>
      <c r="D14" s="561" t="s">
        <v>40</v>
      </c>
      <c r="E14" s="561" t="s">
        <v>57</v>
      </c>
      <c r="F14" s="561" t="s">
        <v>57</v>
      </c>
      <c r="G14" s="562" t="s">
        <v>60</v>
      </c>
      <c r="H14" s="563">
        <v>30954.370000000003</v>
      </c>
      <c r="I14" s="581">
        <v>3585</v>
      </c>
      <c r="J14" s="582">
        <v>8.6344128312412831</v>
      </c>
      <c r="K14" s="566">
        <v>1890</v>
      </c>
      <c r="L14" s="567">
        <v>0.47280334728033474</v>
      </c>
      <c r="M14" s="564">
        <v>910</v>
      </c>
      <c r="N14" s="568">
        <v>0.51851851851851849</v>
      </c>
      <c r="O14" s="565">
        <v>34.015791208791214</v>
      </c>
      <c r="P14" s="564">
        <v>261</v>
      </c>
      <c r="Q14" s="569">
        <v>0.1380952380952381</v>
      </c>
      <c r="R14" s="570">
        <v>118.59911877394637</v>
      </c>
      <c r="S14" s="565">
        <v>30954.370000000003</v>
      </c>
      <c r="T14" s="564">
        <v>3585</v>
      </c>
      <c r="U14" s="565">
        <v>8.6344128312412831</v>
      </c>
      <c r="V14" s="566">
        <v>1890</v>
      </c>
      <c r="W14" s="567">
        <v>0.47280334728033474</v>
      </c>
      <c r="X14" s="564">
        <v>910</v>
      </c>
      <c r="Y14" s="568">
        <v>0.51851851851851849</v>
      </c>
      <c r="Z14" s="565">
        <v>34.015791208791214</v>
      </c>
      <c r="AA14" s="564">
        <v>261</v>
      </c>
      <c r="AB14" s="569">
        <v>0.1380952380952381</v>
      </c>
      <c r="AC14" s="571">
        <v>118.59911877394637</v>
      </c>
      <c r="AD14" s="572" t="s">
        <v>123</v>
      </c>
      <c r="AE14" s="573" t="s">
        <v>123</v>
      </c>
      <c r="AF14" s="565" t="s">
        <v>123</v>
      </c>
      <c r="AG14" s="566" t="s">
        <v>123</v>
      </c>
      <c r="AH14" s="567" t="s">
        <v>123</v>
      </c>
      <c r="AI14" s="564" t="s">
        <v>123</v>
      </c>
      <c r="AJ14" s="568" t="s">
        <v>123</v>
      </c>
      <c r="AK14" s="565" t="s">
        <v>123</v>
      </c>
      <c r="AL14" s="574" t="s">
        <v>123</v>
      </c>
      <c r="AM14" s="569" t="s">
        <v>123</v>
      </c>
      <c r="AN14" s="570" t="s">
        <v>123</v>
      </c>
      <c r="AO14" s="569"/>
      <c r="AP14" s="575"/>
      <c r="AQ14" s="576"/>
      <c r="AR14" s="577"/>
      <c r="AS14" s="578"/>
      <c r="AT14" s="579"/>
      <c r="AU14" s="580"/>
    </row>
    <row r="15" spans="1:47" ht="49.95" customHeight="1">
      <c r="C15" s="758" t="s">
        <v>156</v>
      </c>
      <c r="D15" s="541"/>
      <c r="E15" s="541"/>
      <c r="F15" s="541"/>
      <c r="G15" s="542" t="s">
        <v>139</v>
      </c>
      <c r="H15" s="543">
        <v>79640.829999999987</v>
      </c>
      <c r="I15" s="544">
        <v>7523</v>
      </c>
      <c r="J15" s="545">
        <v>10.586312641233549</v>
      </c>
      <c r="K15" s="546">
        <v>4546</v>
      </c>
      <c r="L15" s="547">
        <v>0.3957197926359165</v>
      </c>
      <c r="M15" s="544">
        <v>2340</v>
      </c>
      <c r="N15" s="548">
        <v>0.48526176858776948</v>
      </c>
      <c r="O15" s="549">
        <v>34.034542735042727</v>
      </c>
      <c r="P15" s="544">
        <v>782</v>
      </c>
      <c r="Q15" s="548">
        <v>0.17201935767707874</v>
      </c>
      <c r="R15" s="550">
        <v>101.84249360613809</v>
      </c>
      <c r="S15" s="545">
        <v>50492.38</v>
      </c>
      <c r="T15" s="544">
        <v>6537</v>
      </c>
      <c r="U15" s="545">
        <v>7.7240905614196107</v>
      </c>
      <c r="V15" s="546">
        <v>3532</v>
      </c>
      <c r="W15" s="547">
        <v>0.45969098975065015</v>
      </c>
      <c r="X15" s="544">
        <v>1603</v>
      </c>
      <c r="Y15" s="548">
        <v>0.54614949037372595</v>
      </c>
      <c r="Z15" s="549">
        <v>31.498677479725512</v>
      </c>
      <c r="AA15" s="544">
        <v>471</v>
      </c>
      <c r="AB15" s="548">
        <v>0.13335220838052095</v>
      </c>
      <c r="AC15" s="551">
        <v>107.20250530785562</v>
      </c>
      <c r="AD15" s="552">
        <v>29148.45</v>
      </c>
      <c r="AE15" s="553">
        <v>986</v>
      </c>
      <c r="AF15" s="545">
        <v>29.562322515212983</v>
      </c>
      <c r="AG15" s="546">
        <v>1014</v>
      </c>
      <c r="AH15" s="547">
        <v>-2.8397565922920892E-2</v>
      </c>
      <c r="AI15" s="553">
        <v>737</v>
      </c>
      <c r="AJ15" s="548">
        <v>0.27317554240631164</v>
      </c>
      <c r="AK15" s="549">
        <v>39.550135685210314</v>
      </c>
      <c r="AL15" s="554">
        <v>311</v>
      </c>
      <c r="AM15" s="548">
        <v>0.3067061143984221</v>
      </c>
      <c r="AN15" s="550">
        <v>93.724919614147908</v>
      </c>
      <c r="AO15" s="548">
        <v>0.66020000000000001</v>
      </c>
      <c r="AP15" s="555">
        <v>0.71689999999999998</v>
      </c>
      <c r="AQ15" s="556">
        <v>0.69689999999999996</v>
      </c>
      <c r="AR15" s="557">
        <v>0.69669999999999999</v>
      </c>
      <c r="AS15" s="558">
        <v>2.16</v>
      </c>
      <c r="AT15" s="583" t="s">
        <v>157</v>
      </c>
      <c r="AU15" s="580" t="s">
        <v>158</v>
      </c>
    </row>
    <row r="16" spans="1:47" ht="21" hidden="1" customHeight="1">
      <c r="A16" t="s">
        <v>159</v>
      </c>
      <c r="B16" t="s">
        <v>141</v>
      </c>
      <c r="C16" s="759"/>
      <c r="D16" s="561" t="s">
        <v>40</v>
      </c>
      <c r="E16" s="561" t="s">
        <v>142</v>
      </c>
      <c r="F16" s="561" t="s">
        <v>44</v>
      </c>
      <c r="G16" s="562" t="s">
        <v>42</v>
      </c>
      <c r="H16" s="563">
        <v>5171.5</v>
      </c>
      <c r="I16" s="564">
        <v>259</v>
      </c>
      <c r="J16" s="565">
        <v>19.967181467181469</v>
      </c>
      <c r="K16" s="566">
        <v>279</v>
      </c>
      <c r="L16" s="567">
        <v>-7.7220077220077218E-2</v>
      </c>
      <c r="M16" s="564">
        <v>218</v>
      </c>
      <c r="N16" s="568">
        <v>0.21863799283154123</v>
      </c>
      <c r="O16" s="565">
        <v>23.722477064220183</v>
      </c>
      <c r="P16" s="564">
        <v>89</v>
      </c>
      <c r="Q16" s="569">
        <v>0.31899641577060933</v>
      </c>
      <c r="R16" s="570">
        <v>58.106741573033709</v>
      </c>
      <c r="S16" s="565" t="s">
        <v>123</v>
      </c>
      <c r="T16" s="564" t="s">
        <v>123</v>
      </c>
      <c r="U16" s="565" t="s">
        <v>123</v>
      </c>
      <c r="V16" s="566" t="s">
        <v>123</v>
      </c>
      <c r="W16" s="567" t="s">
        <v>123</v>
      </c>
      <c r="X16" s="564" t="s">
        <v>123</v>
      </c>
      <c r="Y16" s="568" t="s">
        <v>123</v>
      </c>
      <c r="Z16" s="565" t="s">
        <v>123</v>
      </c>
      <c r="AA16" s="564" t="s">
        <v>123</v>
      </c>
      <c r="AB16" s="569" t="s">
        <v>123</v>
      </c>
      <c r="AC16" s="571" t="s">
        <v>123</v>
      </c>
      <c r="AD16" s="572">
        <v>5171.5</v>
      </c>
      <c r="AE16" s="573">
        <v>259</v>
      </c>
      <c r="AF16" s="565">
        <v>19.967181467181469</v>
      </c>
      <c r="AG16" s="566">
        <v>279</v>
      </c>
      <c r="AH16" s="567">
        <v>-7.7220077220077218E-2</v>
      </c>
      <c r="AI16" s="564">
        <v>218</v>
      </c>
      <c r="AJ16" s="568">
        <v>0.21863799283154123</v>
      </c>
      <c r="AK16" s="565">
        <v>23.722477064220183</v>
      </c>
      <c r="AL16" s="574">
        <v>89</v>
      </c>
      <c r="AM16" s="569">
        <v>0.31899641577060933</v>
      </c>
      <c r="AN16" s="570">
        <v>58.106741573033709</v>
      </c>
      <c r="AO16" s="569"/>
      <c r="AP16" s="575"/>
      <c r="AQ16" s="576"/>
      <c r="AR16" s="577"/>
      <c r="AS16" s="578"/>
      <c r="AT16" s="579"/>
      <c r="AU16" s="580"/>
    </row>
    <row r="17" spans="1:47" ht="21" hidden="1" customHeight="1">
      <c r="A17" t="s">
        <v>160</v>
      </c>
      <c r="B17" t="s">
        <v>144</v>
      </c>
      <c r="C17" s="759"/>
      <c r="D17" s="561" t="s">
        <v>52</v>
      </c>
      <c r="E17" s="561" t="s">
        <v>145</v>
      </c>
      <c r="F17" s="561" t="s">
        <v>44</v>
      </c>
      <c r="G17" s="562" t="s">
        <v>42</v>
      </c>
      <c r="H17" s="563">
        <v>6171.38</v>
      </c>
      <c r="I17" s="564">
        <v>252</v>
      </c>
      <c r="J17" s="565">
        <v>24.489603174603175</v>
      </c>
      <c r="K17" s="566">
        <v>260</v>
      </c>
      <c r="L17" s="567">
        <v>-3.1746031746031744E-2</v>
      </c>
      <c r="M17" s="564">
        <v>175</v>
      </c>
      <c r="N17" s="568">
        <v>0.32692307692307693</v>
      </c>
      <c r="O17" s="565">
        <v>35.265028571428573</v>
      </c>
      <c r="P17" s="564">
        <v>73</v>
      </c>
      <c r="Q17" s="569">
        <v>0.28076923076923077</v>
      </c>
      <c r="R17" s="570">
        <v>84.539452054794523</v>
      </c>
      <c r="S17" s="565" t="s">
        <v>123</v>
      </c>
      <c r="T17" s="564" t="s">
        <v>123</v>
      </c>
      <c r="U17" s="565" t="s">
        <v>123</v>
      </c>
      <c r="V17" s="566" t="s">
        <v>123</v>
      </c>
      <c r="W17" s="567" t="s">
        <v>123</v>
      </c>
      <c r="X17" s="564" t="s">
        <v>123</v>
      </c>
      <c r="Y17" s="568" t="s">
        <v>123</v>
      </c>
      <c r="Z17" s="565" t="s">
        <v>123</v>
      </c>
      <c r="AA17" s="564" t="s">
        <v>123</v>
      </c>
      <c r="AB17" s="569" t="s">
        <v>123</v>
      </c>
      <c r="AC17" s="571" t="s">
        <v>123</v>
      </c>
      <c r="AD17" s="572">
        <v>6171.38</v>
      </c>
      <c r="AE17" s="573">
        <v>252</v>
      </c>
      <c r="AF17" s="565">
        <v>24.489603174603175</v>
      </c>
      <c r="AG17" s="566">
        <v>260</v>
      </c>
      <c r="AH17" s="567">
        <v>-3.1746031746031744E-2</v>
      </c>
      <c r="AI17" s="564">
        <v>175</v>
      </c>
      <c r="AJ17" s="568">
        <v>0.32692307692307693</v>
      </c>
      <c r="AK17" s="565">
        <v>35.265028571428573</v>
      </c>
      <c r="AL17" s="574">
        <v>73</v>
      </c>
      <c r="AM17" s="569">
        <v>0.28076923076923077</v>
      </c>
      <c r="AN17" s="570">
        <v>84.539452054794523</v>
      </c>
      <c r="AO17" s="569"/>
      <c r="AP17" s="575"/>
      <c r="AQ17" s="576"/>
      <c r="AR17" s="577"/>
      <c r="AS17" s="578"/>
      <c r="AT17" s="579"/>
      <c r="AU17" s="580"/>
    </row>
    <row r="18" spans="1:47" ht="21" hidden="1" customHeight="1">
      <c r="A18" t="s">
        <v>161</v>
      </c>
      <c r="B18" t="s">
        <v>147</v>
      </c>
      <c r="C18" s="759"/>
      <c r="D18" s="561" t="s">
        <v>40</v>
      </c>
      <c r="E18" s="561" t="s">
        <v>57</v>
      </c>
      <c r="F18" s="561" t="s">
        <v>57</v>
      </c>
      <c r="G18" s="562" t="s">
        <v>42</v>
      </c>
      <c r="H18" s="563">
        <v>10111.76</v>
      </c>
      <c r="I18" s="564">
        <v>1350</v>
      </c>
      <c r="J18" s="565">
        <v>7.4901925925925932</v>
      </c>
      <c r="K18" s="566">
        <v>731</v>
      </c>
      <c r="L18" s="567">
        <v>0.45851851851851849</v>
      </c>
      <c r="M18" s="564">
        <v>224</v>
      </c>
      <c r="N18" s="568">
        <v>0.69357045143638851</v>
      </c>
      <c r="O18" s="565">
        <v>45.141785714285717</v>
      </c>
      <c r="P18" s="564">
        <v>42</v>
      </c>
      <c r="Q18" s="569">
        <v>5.7455540355677154E-2</v>
      </c>
      <c r="R18" s="570">
        <v>240.75619047619048</v>
      </c>
      <c r="S18" s="565">
        <v>10111.76</v>
      </c>
      <c r="T18" s="564">
        <v>1350</v>
      </c>
      <c r="U18" s="565">
        <v>7.4901925925925932</v>
      </c>
      <c r="V18" s="566">
        <v>731</v>
      </c>
      <c r="W18" s="567">
        <v>0.45851851851851849</v>
      </c>
      <c r="X18" s="564">
        <v>224</v>
      </c>
      <c r="Y18" s="568">
        <v>0.69357045143638851</v>
      </c>
      <c r="Z18" s="565">
        <v>45.141785714285717</v>
      </c>
      <c r="AA18" s="564">
        <v>42</v>
      </c>
      <c r="AB18" s="569">
        <v>5.7455540355677154E-2</v>
      </c>
      <c r="AC18" s="571">
        <v>240.75619047619048</v>
      </c>
      <c r="AD18" s="572" t="s">
        <v>123</v>
      </c>
      <c r="AE18" s="573" t="s">
        <v>123</v>
      </c>
      <c r="AF18" s="565" t="s">
        <v>123</v>
      </c>
      <c r="AG18" s="566" t="s">
        <v>123</v>
      </c>
      <c r="AH18" s="567" t="s">
        <v>123</v>
      </c>
      <c r="AI18" s="564" t="s">
        <v>123</v>
      </c>
      <c r="AJ18" s="568" t="s">
        <v>123</v>
      </c>
      <c r="AK18" s="565" t="s">
        <v>123</v>
      </c>
      <c r="AL18" s="574" t="s">
        <v>123</v>
      </c>
      <c r="AM18" s="569" t="s">
        <v>123</v>
      </c>
      <c r="AN18" s="570" t="s">
        <v>123</v>
      </c>
      <c r="AO18" s="569"/>
      <c r="AP18" s="575"/>
      <c r="AQ18" s="576"/>
      <c r="AR18" s="577"/>
      <c r="AS18" s="578"/>
      <c r="AT18" s="579"/>
      <c r="AU18" s="580"/>
    </row>
    <row r="19" spans="1:47" ht="21" hidden="1" customHeight="1">
      <c r="A19" t="s">
        <v>162</v>
      </c>
      <c r="B19" t="s">
        <v>149</v>
      </c>
      <c r="C19" s="759"/>
      <c r="D19" s="561" t="s">
        <v>52</v>
      </c>
      <c r="E19" s="561" t="s">
        <v>121</v>
      </c>
      <c r="F19" s="561" t="s">
        <v>44</v>
      </c>
      <c r="G19" s="562" t="s">
        <v>42</v>
      </c>
      <c r="H19" s="563">
        <v>3814.28</v>
      </c>
      <c r="I19" s="564">
        <v>20</v>
      </c>
      <c r="J19" s="565">
        <v>190.714</v>
      </c>
      <c r="K19" s="566">
        <v>18</v>
      </c>
      <c r="L19" s="567">
        <v>0.1</v>
      </c>
      <c r="M19" s="564">
        <v>13</v>
      </c>
      <c r="N19" s="568">
        <v>0.27777777777777779</v>
      </c>
      <c r="O19" s="565">
        <v>293.40615384615387</v>
      </c>
      <c r="P19" s="564">
        <v>12</v>
      </c>
      <c r="Q19" s="569">
        <v>0.66666666666666663</v>
      </c>
      <c r="R19" s="570">
        <v>317.85666666666668</v>
      </c>
      <c r="S19" s="565" t="s">
        <v>123</v>
      </c>
      <c r="T19" s="564" t="s">
        <v>123</v>
      </c>
      <c r="U19" s="565" t="s">
        <v>123</v>
      </c>
      <c r="V19" s="566" t="s">
        <v>123</v>
      </c>
      <c r="W19" s="567" t="s">
        <v>123</v>
      </c>
      <c r="X19" s="564" t="s">
        <v>123</v>
      </c>
      <c r="Y19" s="568" t="s">
        <v>123</v>
      </c>
      <c r="Z19" s="565" t="s">
        <v>123</v>
      </c>
      <c r="AA19" s="564" t="s">
        <v>123</v>
      </c>
      <c r="AB19" s="569" t="s">
        <v>123</v>
      </c>
      <c r="AC19" s="571" t="s">
        <v>123</v>
      </c>
      <c r="AD19" s="572">
        <v>3814.28</v>
      </c>
      <c r="AE19" s="573">
        <v>20</v>
      </c>
      <c r="AF19" s="565">
        <v>190.714</v>
      </c>
      <c r="AG19" s="566">
        <v>18</v>
      </c>
      <c r="AH19" s="567">
        <v>0.1</v>
      </c>
      <c r="AI19" s="564">
        <v>13</v>
      </c>
      <c r="AJ19" s="568">
        <v>0.27777777777777779</v>
      </c>
      <c r="AK19" s="565">
        <v>293.40615384615387</v>
      </c>
      <c r="AL19" s="574">
        <v>12</v>
      </c>
      <c r="AM19" s="569">
        <v>0.66666666666666663</v>
      </c>
      <c r="AN19" s="570">
        <v>317.85666666666668</v>
      </c>
      <c r="AO19" s="569"/>
      <c r="AP19" s="575"/>
      <c r="AQ19" s="576"/>
      <c r="AR19" s="577"/>
      <c r="AS19" s="578"/>
      <c r="AT19" s="579"/>
      <c r="AU19" s="580"/>
    </row>
    <row r="20" spans="1:47" ht="21" hidden="1" customHeight="1">
      <c r="A20" t="s">
        <v>163</v>
      </c>
      <c r="B20" t="s">
        <v>151</v>
      </c>
      <c r="C20" s="759"/>
      <c r="D20" s="561" t="s">
        <v>40</v>
      </c>
      <c r="E20" s="561" t="s">
        <v>142</v>
      </c>
      <c r="F20" s="561" t="s">
        <v>44</v>
      </c>
      <c r="G20" s="562" t="s">
        <v>60</v>
      </c>
      <c r="H20" s="563">
        <v>5344.04</v>
      </c>
      <c r="I20" s="564">
        <v>203</v>
      </c>
      <c r="J20" s="565">
        <v>26.325320197044334</v>
      </c>
      <c r="K20" s="566">
        <v>227</v>
      </c>
      <c r="L20" s="567">
        <v>-0.11822660098522167</v>
      </c>
      <c r="M20" s="564">
        <v>152</v>
      </c>
      <c r="N20" s="568">
        <v>0.33039647577092512</v>
      </c>
      <c r="O20" s="565">
        <v>35.158157894736839</v>
      </c>
      <c r="P20" s="564">
        <v>76</v>
      </c>
      <c r="Q20" s="569">
        <v>0.33480176211453744</v>
      </c>
      <c r="R20" s="570">
        <v>70.316315789473677</v>
      </c>
      <c r="S20" s="565" t="s">
        <v>123</v>
      </c>
      <c r="T20" s="564" t="s">
        <v>123</v>
      </c>
      <c r="U20" s="565" t="s">
        <v>123</v>
      </c>
      <c r="V20" s="566" t="s">
        <v>123</v>
      </c>
      <c r="W20" s="567" t="s">
        <v>123</v>
      </c>
      <c r="X20" s="564" t="s">
        <v>123</v>
      </c>
      <c r="Y20" s="568" t="s">
        <v>123</v>
      </c>
      <c r="Z20" s="565" t="s">
        <v>123</v>
      </c>
      <c r="AA20" s="564" t="s">
        <v>123</v>
      </c>
      <c r="AB20" s="569" t="s">
        <v>123</v>
      </c>
      <c r="AC20" s="571" t="s">
        <v>123</v>
      </c>
      <c r="AD20" s="572">
        <v>5344.04</v>
      </c>
      <c r="AE20" s="573">
        <v>203</v>
      </c>
      <c r="AF20" s="565">
        <v>26.325320197044334</v>
      </c>
      <c r="AG20" s="566">
        <v>227</v>
      </c>
      <c r="AH20" s="567">
        <v>-0.11822660098522167</v>
      </c>
      <c r="AI20" s="564">
        <v>152</v>
      </c>
      <c r="AJ20" s="568">
        <v>0.33039647577092512</v>
      </c>
      <c r="AK20" s="565">
        <v>35.158157894736839</v>
      </c>
      <c r="AL20" s="574">
        <v>76</v>
      </c>
      <c r="AM20" s="569">
        <v>0.33480176211453744</v>
      </c>
      <c r="AN20" s="570">
        <v>70.316315789473677</v>
      </c>
      <c r="AO20" s="569"/>
      <c r="AP20" s="575"/>
      <c r="AQ20" s="576">
        <v>0.66020000000000001</v>
      </c>
      <c r="AR20" s="577">
        <v>0.66749999999999998</v>
      </c>
      <c r="AS20" s="578"/>
      <c r="AT20" s="579"/>
      <c r="AU20" s="580"/>
    </row>
    <row r="21" spans="1:47" ht="21" hidden="1" customHeight="1">
      <c r="A21" t="s">
        <v>164</v>
      </c>
      <c r="B21" t="s">
        <v>153</v>
      </c>
      <c r="C21" s="759"/>
      <c r="D21" s="561" t="s">
        <v>52</v>
      </c>
      <c r="E21" s="561" t="s">
        <v>145</v>
      </c>
      <c r="F21" s="561" t="s">
        <v>44</v>
      </c>
      <c r="G21" s="562" t="s">
        <v>60</v>
      </c>
      <c r="H21" s="563">
        <v>8647.25</v>
      </c>
      <c r="I21" s="564">
        <v>252</v>
      </c>
      <c r="J21" s="565">
        <v>34.314484126984127</v>
      </c>
      <c r="K21" s="566">
        <v>230</v>
      </c>
      <c r="L21" s="567">
        <v>8.7301587301587297E-2</v>
      </c>
      <c r="M21" s="564">
        <v>179</v>
      </c>
      <c r="N21" s="568">
        <v>0.22173913043478261</v>
      </c>
      <c r="O21" s="565">
        <v>48.308659217877093</v>
      </c>
      <c r="P21" s="564">
        <v>61</v>
      </c>
      <c r="Q21" s="569">
        <v>0.26521739130434785</v>
      </c>
      <c r="R21" s="570">
        <v>141.75819672131146</v>
      </c>
      <c r="S21" s="565" t="s">
        <v>123</v>
      </c>
      <c r="T21" s="564" t="s">
        <v>123</v>
      </c>
      <c r="U21" s="565" t="s">
        <v>123</v>
      </c>
      <c r="V21" s="566" t="s">
        <v>123</v>
      </c>
      <c r="W21" s="567" t="s">
        <v>123</v>
      </c>
      <c r="X21" s="564" t="s">
        <v>123</v>
      </c>
      <c r="Y21" s="568" t="s">
        <v>123</v>
      </c>
      <c r="Z21" s="565" t="s">
        <v>123</v>
      </c>
      <c r="AA21" s="564" t="s">
        <v>123</v>
      </c>
      <c r="AB21" s="569" t="s">
        <v>123</v>
      </c>
      <c r="AC21" s="571" t="s">
        <v>123</v>
      </c>
      <c r="AD21" s="572">
        <v>8647.25</v>
      </c>
      <c r="AE21" s="573">
        <v>252</v>
      </c>
      <c r="AF21" s="565">
        <v>34.314484126984127</v>
      </c>
      <c r="AG21" s="566">
        <v>230</v>
      </c>
      <c r="AH21" s="567">
        <v>8.7301587301587297E-2</v>
      </c>
      <c r="AI21" s="564">
        <v>179</v>
      </c>
      <c r="AJ21" s="568">
        <v>0.22173913043478261</v>
      </c>
      <c r="AK21" s="565">
        <v>48.308659217877093</v>
      </c>
      <c r="AL21" s="574">
        <v>61</v>
      </c>
      <c r="AM21" s="569">
        <v>0.26521739130434785</v>
      </c>
      <c r="AN21" s="570">
        <v>141.75819672131146</v>
      </c>
      <c r="AO21" s="569"/>
      <c r="AP21" s="575"/>
      <c r="AQ21" s="576">
        <v>0.71689999999999998</v>
      </c>
      <c r="AR21" s="577">
        <v>0.71289999999999998</v>
      </c>
      <c r="AS21" s="578"/>
      <c r="AT21" s="579"/>
      <c r="AU21" s="580"/>
    </row>
    <row r="22" spans="1:47" ht="21" hidden="1" customHeight="1">
      <c r="A22" t="s">
        <v>165</v>
      </c>
      <c r="B22" t="s">
        <v>155</v>
      </c>
      <c r="C22" s="760"/>
      <c r="D22" s="584" t="s">
        <v>40</v>
      </c>
      <c r="E22" s="584" t="s">
        <v>57</v>
      </c>
      <c r="F22" s="584" t="s">
        <v>57</v>
      </c>
      <c r="G22" s="585" t="s">
        <v>60</v>
      </c>
      <c r="H22" s="563">
        <v>40380.619999999995</v>
      </c>
      <c r="I22" s="581">
        <v>5187</v>
      </c>
      <c r="J22" s="582">
        <v>7.7849662618083659</v>
      </c>
      <c r="K22" s="566">
        <v>2801</v>
      </c>
      <c r="L22" s="567">
        <v>0.45999614420667051</v>
      </c>
      <c r="M22" s="564">
        <v>1379</v>
      </c>
      <c r="N22" s="568">
        <v>0.50767583006069261</v>
      </c>
      <c r="O22" s="586">
        <v>29.282538071065986</v>
      </c>
      <c r="P22" s="564">
        <v>429</v>
      </c>
      <c r="Q22" s="569">
        <v>0.15315958586219208</v>
      </c>
      <c r="R22" s="570">
        <v>94.127319347319343</v>
      </c>
      <c r="S22" s="565">
        <v>40380.619999999995</v>
      </c>
      <c r="T22" s="564">
        <v>5187</v>
      </c>
      <c r="U22" s="565">
        <v>7.7849662618083659</v>
      </c>
      <c r="V22" s="566">
        <v>2801</v>
      </c>
      <c r="W22" s="567">
        <v>0.45999614420667051</v>
      </c>
      <c r="X22" s="564">
        <v>1379</v>
      </c>
      <c r="Y22" s="568">
        <v>0.50767583006069261</v>
      </c>
      <c r="Z22" s="586">
        <v>29.282538071065986</v>
      </c>
      <c r="AA22" s="564">
        <v>429</v>
      </c>
      <c r="AB22" s="569">
        <v>0.15315958586219208</v>
      </c>
      <c r="AC22" s="571">
        <v>94.127319347319343</v>
      </c>
      <c r="AD22" s="572" t="s">
        <v>123</v>
      </c>
      <c r="AE22" s="573" t="s">
        <v>123</v>
      </c>
      <c r="AF22" s="565" t="s">
        <v>123</v>
      </c>
      <c r="AG22" s="566" t="s">
        <v>123</v>
      </c>
      <c r="AH22" s="567" t="s">
        <v>123</v>
      </c>
      <c r="AI22" s="564" t="s">
        <v>123</v>
      </c>
      <c r="AJ22" s="568" t="s">
        <v>123</v>
      </c>
      <c r="AK22" s="586" t="s">
        <v>123</v>
      </c>
      <c r="AL22" s="574" t="s">
        <v>123</v>
      </c>
      <c r="AM22" s="569" t="s">
        <v>123</v>
      </c>
      <c r="AN22" s="570" t="s">
        <v>123</v>
      </c>
      <c r="AO22" s="569"/>
      <c r="AP22" s="587"/>
      <c r="AQ22" s="576"/>
      <c r="AR22" s="588"/>
      <c r="AS22" s="578"/>
      <c r="AT22" s="579"/>
      <c r="AU22" s="580"/>
    </row>
    <row r="23" spans="1:47" ht="49.95" customHeight="1">
      <c r="C23" s="758" t="s">
        <v>166</v>
      </c>
      <c r="D23" s="541"/>
      <c r="E23" s="541"/>
      <c r="F23" s="541"/>
      <c r="G23" s="542" t="s">
        <v>139</v>
      </c>
      <c r="H23" s="543">
        <v>81234.559999999998</v>
      </c>
      <c r="I23" s="544">
        <v>6826</v>
      </c>
      <c r="J23" s="545">
        <v>11.900755933196601</v>
      </c>
      <c r="K23" s="546">
        <v>4177</v>
      </c>
      <c r="L23" s="547">
        <v>0.38807500732493405</v>
      </c>
      <c r="M23" s="544">
        <v>2077</v>
      </c>
      <c r="N23" s="548">
        <v>0.50275317213310988</v>
      </c>
      <c r="O23" s="549">
        <v>39.111487722676934</v>
      </c>
      <c r="P23" s="544">
        <v>596</v>
      </c>
      <c r="Q23" s="548">
        <v>0.14268613837682548</v>
      </c>
      <c r="R23" s="550">
        <v>136.29959731543624</v>
      </c>
      <c r="S23" s="545">
        <v>53901.8</v>
      </c>
      <c r="T23" s="544">
        <v>5940</v>
      </c>
      <c r="U23" s="545">
        <v>9.0743771043771044</v>
      </c>
      <c r="V23" s="546">
        <v>3341</v>
      </c>
      <c r="W23" s="547">
        <v>0.43754208754208757</v>
      </c>
      <c r="X23" s="544">
        <v>1434</v>
      </c>
      <c r="Y23" s="548">
        <v>0.57078718946423224</v>
      </c>
      <c r="Z23" s="549">
        <v>37.588423988842401</v>
      </c>
      <c r="AA23" s="544">
        <v>329</v>
      </c>
      <c r="AB23" s="548">
        <v>9.847351092487279E-2</v>
      </c>
      <c r="AC23" s="551">
        <v>163.83525835866263</v>
      </c>
      <c r="AD23" s="552">
        <v>27332.760000000002</v>
      </c>
      <c r="AE23" s="553">
        <v>886</v>
      </c>
      <c r="AF23" s="545">
        <v>30.849616252821672</v>
      </c>
      <c r="AG23" s="546">
        <v>836</v>
      </c>
      <c r="AH23" s="547">
        <v>5.6433408577878104E-2</v>
      </c>
      <c r="AI23" s="553">
        <v>643</v>
      </c>
      <c r="AJ23" s="548">
        <v>0.23086124401913877</v>
      </c>
      <c r="AK23" s="549">
        <v>42.50818040435459</v>
      </c>
      <c r="AL23" s="554">
        <v>267</v>
      </c>
      <c r="AM23" s="548">
        <v>0.31937799043062198</v>
      </c>
      <c r="AN23" s="550">
        <v>102.36988764044945</v>
      </c>
      <c r="AO23" s="548">
        <v>0.53029999999999999</v>
      </c>
      <c r="AP23" s="555">
        <v>0.71279999999999999</v>
      </c>
      <c r="AQ23" s="556">
        <v>0.6452</v>
      </c>
      <c r="AR23" s="557">
        <v>0.64410000000000001</v>
      </c>
      <c r="AS23" s="558">
        <v>2.09</v>
      </c>
      <c r="AT23" s="583" t="s">
        <v>167</v>
      </c>
      <c r="AU23" s="589" t="s">
        <v>168</v>
      </c>
    </row>
    <row r="24" spans="1:47" ht="21" hidden="1" customHeight="1">
      <c r="A24" t="s">
        <v>169</v>
      </c>
      <c r="B24" t="s">
        <v>141</v>
      </c>
      <c r="C24" s="759"/>
      <c r="D24" s="561" t="s">
        <v>40</v>
      </c>
      <c r="E24" s="561" t="s">
        <v>142</v>
      </c>
      <c r="F24" s="561" t="s">
        <v>44</v>
      </c>
      <c r="G24" s="562" t="s">
        <v>42</v>
      </c>
      <c r="H24" s="563">
        <v>5885.88</v>
      </c>
      <c r="I24" s="564">
        <v>245</v>
      </c>
      <c r="J24" s="565">
        <v>24.024000000000001</v>
      </c>
      <c r="K24" s="566">
        <v>229</v>
      </c>
      <c r="L24" s="567">
        <v>6.5306122448979598E-2</v>
      </c>
      <c r="M24" s="564">
        <v>187</v>
      </c>
      <c r="N24" s="568">
        <v>0.18340611353711792</v>
      </c>
      <c r="O24" s="565">
        <v>31.47529411764706</v>
      </c>
      <c r="P24" s="564">
        <v>88</v>
      </c>
      <c r="Q24" s="569">
        <v>0.38427947598253276</v>
      </c>
      <c r="R24" s="570">
        <v>66.885000000000005</v>
      </c>
      <c r="S24" s="565" t="s">
        <v>123</v>
      </c>
      <c r="T24" s="564" t="s">
        <v>123</v>
      </c>
      <c r="U24" s="565" t="s">
        <v>123</v>
      </c>
      <c r="V24" s="566" t="s">
        <v>123</v>
      </c>
      <c r="W24" s="567" t="s">
        <v>123</v>
      </c>
      <c r="X24" s="564" t="s">
        <v>123</v>
      </c>
      <c r="Y24" s="568" t="s">
        <v>123</v>
      </c>
      <c r="Z24" s="565" t="s">
        <v>123</v>
      </c>
      <c r="AA24" s="564" t="s">
        <v>123</v>
      </c>
      <c r="AB24" s="569" t="s">
        <v>123</v>
      </c>
      <c r="AC24" s="571" t="s">
        <v>123</v>
      </c>
      <c r="AD24" s="572">
        <v>5885.88</v>
      </c>
      <c r="AE24" s="573">
        <v>245</v>
      </c>
      <c r="AF24" s="565">
        <v>24.024000000000001</v>
      </c>
      <c r="AG24" s="566">
        <v>229</v>
      </c>
      <c r="AH24" s="567">
        <v>6.5306122448979598E-2</v>
      </c>
      <c r="AI24" s="564">
        <v>187</v>
      </c>
      <c r="AJ24" s="568">
        <v>0.18340611353711792</v>
      </c>
      <c r="AK24" s="565">
        <v>31.47529411764706</v>
      </c>
      <c r="AL24" s="574">
        <v>88</v>
      </c>
      <c r="AM24" s="569">
        <v>0.38427947598253276</v>
      </c>
      <c r="AN24" s="570">
        <v>66.885000000000005</v>
      </c>
      <c r="AO24" s="569"/>
      <c r="AP24" s="575"/>
      <c r="AQ24" s="576"/>
      <c r="AR24" s="577"/>
      <c r="AS24" s="578"/>
      <c r="AT24" s="579"/>
      <c r="AU24" s="580"/>
    </row>
    <row r="25" spans="1:47" ht="21" hidden="1" customHeight="1">
      <c r="A25" t="s">
        <v>170</v>
      </c>
      <c r="B25" t="s">
        <v>144</v>
      </c>
      <c r="C25" s="759"/>
      <c r="D25" s="561" t="s">
        <v>52</v>
      </c>
      <c r="E25" s="561" t="s">
        <v>145</v>
      </c>
      <c r="F25" s="561" t="s">
        <v>44</v>
      </c>
      <c r="G25" s="562" t="s">
        <v>42</v>
      </c>
      <c r="H25" s="563">
        <v>7044.53</v>
      </c>
      <c r="I25" s="564">
        <v>271</v>
      </c>
      <c r="J25" s="565">
        <v>25.994575645756456</v>
      </c>
      <c r="K25" s="566">
        <v>268</v>
      </c>
      <c r="L25" s="567">
        <v>1.107011070110701E-2</v>
      </c>
      <c r="M25" s="564">
        <v>201</v>
      </c>
      <c r="N25" s="568">
        <v>0.25</v>
      </c>
      <c r="O25" s="565">
        <v>35.047412935323379</v>
      </c>
      <c r="P25" s="564">
        <v>72</v>
      </c>
      <c r="Q25" s="569">
        <v>0.26865671641791045</v>
      </c>
      <c r="R25" s="570">
        <v>97.840694444444438</v>
      </c>
      <c r="S25" s="565" t="s">
        <v>123</v>
      </c>
      <c r="T25" s="564" t="s">
        <v>123</v>
      </c>
      <c r="U25" s="565" t="s">
        <v>123</v>
      </c>
      <c r="V25" s="566" t="s">
        <v>123</v>
      </c>
      <c r="W25" s="567" t="s">
        <v>123</v>
      </c>
      <c r="X25" s="564" t="s">
        <v>123</v>
      </c>
      <c r="Y25" s="568" t="s">
        <v>123</v>
      </c>
      <c r="Z25" s="565" t="s">
        <v>123</v>
      </c>
      <c r="AA25" s="564" t="s">
        <v>123</v>
      </c>
      <c r="AB25" s="569" t="s">
        <v>123</v>
      </c>
      <c r="AC25" s="571" t="s">
        <v>123</v>
      </c>
      <c r="AD25" s="572">
        <v>7044.53</v>
      </c>
      <c r="AE25" s="573">
        <v>271</v>
      </c>
      <c r="AF25" s="565">
        <v>25.994575645756456</v>
      </c>
      <c r="AG25" s="566">
        <v>268</v>
      </c>
      <c r="AH25" s="567">
        <v>1.107011070110701E-2</v>
      </c>
      <c r="AI25" s="564">
        <v>201</v>
      </c>
      <c r="AJ25" s="568">
        <v>0.25</v>
      </c>
      <c r="AK25" s="565">
        <v>35.047412935323379</v>
      </c>
      <c r="AL25" s="574">
        <v>72</v>
      </c>
      <c r="AM25" s="569">
        <v>0.26865671641791045</v>
      </c>
      <c r="AN25" s="570">
        <v>97.840694444444438</v>
      </c>
      <c r="AO25" s="569"/>
      <c r="AP25" s="575"/>
      <c r="AQ25" s="576"/>
      <c r="AR25" s="577"/>
      <c r="AS25" s="578"/>
      <c r="AT25" s="579"/>
      <c r="AU25" s="580"/>
    </row>
    <row r="26" spans="1:47" ht="21" hidden="1" customHeight="1">
      <c r="A26" t="s">
        <v>171</v>
      </c>
      <c r="B26" t="s">
        <v>147</v>
      </c>
      <c r="C26" s="759"/>
      <c r="D26" s="561" t="s">
        <v>40</v>
      </c>
      <c r="E26" s="561" t="s">
        <v>57</v>
      </c>
      <c r="F26" s="561" t="s">
        <v>57</v>
      </c>
      <c r="G26" s="562" t="s">
        <v>42</v>
      </c>
      <c r="H26" s="563">
        <v>14651</v>
      </c>
      <c r="I26" s="564">
        <v>1746</v>
      </c>
      <c r="J26" s="565">
        <v>8.3911798396334483</v>
      </c>
      <c r="K26" s="566">
        <v>977</v>
      </c>
      <c r="L26" s="567">
        <v>0.4404352806414662</v>
      </c>
      <c r="M26" s="564">
        <v>264</v>
      </c>
      <c r="N26" s="568">
        <v>0.72978505629477997</v>
      </c>
      <c r="O26" s="565">
        <v>55.496212121212125</v>
      </c>
      <c r="P26" s="564">
        <v>33</v>
      </c>
      <c r="Q26" s="569">
        <v>3.3776867963152504E-2</v>
      </c>
      <c r="R26" s="570">
        <v>443.969696969697</v>
      </c>
      <c r="S26" s="565">
        <v>14651</v>
      </c>
      <c r="T26" s="564">
        <v>1746</v>
      </c>
      <c r="U26" s="565">
        <v>8.3911798396334483</v>
      </c>
      <c r="V26" s="566">
        <v>977</v>
      </c>
      <c r="W26" s="567">
        <v>0.4404352806414662</v>
      </c>
      <c r="X26" s="564">
        <v>264</v>
      </c>
      <c r="Y26" s="568">
        <v>0.72978505629477997</v>
      </c>
      <c r="Z26" s="565">
        <v>55.496212121212125</v>
      </c>
      <c r="AA26" s="564">
        <v>33</v>
      </c>
      <c r="AB26" s="569">
        <v>3.3776867963152504E-2</v>
      </c>
      <c r="AC26" s="571">
        <v>443.969696969697</v>
      </c>
      <c r="AD26" s="572" t="s">
        <v>123</v>
      </c>
      <c r="AE26" s="573" t="s">
        <v>123</v>
      </c>
      <c r="AF26" s="565" t="s">
        <v>123</v>
      </c>
      <c r="AG26" s="566" t="s">
        <v>123</v>
      </c>
      <c r="AH26" s="567" t="s">
        <v>123</v>
      </c>
      <c r="AI26" s="564" t="s">
        <v>123</v>
      </c>
      <c r="AJ26" s="568" t="s">
        <v>123</v>
      </c>
      <c r="AK26" s="565" t="s">
        <v>123</v>
      </c>
      <c r="AL26" s="574" t="s">
        <v>123</v>
      </c>
      <c r="AM26" s="569" t="s">
        <v>123</v>
      </c>
      <c r="AN26" s="570" t="s">
        <v>123</v>
      </c>
      <c r="AO26" s="569"/>
      <c r="AP26" s="575"/>
      <c r="AQ26" s="576"/>
      <c r="AR26" s="577"/>
      <c r="AS26" s="578"/>
      <c r="AT26" s="579"/>
      <c r="AU26" s="580"/>
    </row>
    <row r="27" spans="1:47" ht="21" hidden="1" customHeight="1">
      <c r="A27" t="s">
        <v>172</v>
      </c>
      <c r="B27" t="s">
        <v>149</v>
      </c>
      <c r="C27" s="759"/>
      <c r="D27" s="561" t="s">
        <v>52</v>
      </c>
      <c r="E27" s="561" t="s">
        <v>121</v>
      </c>
      <c r="F27" s="561" t="s">
        <v>44</v>
      </c>
      <c r="G27" s="562" t="s">
        <v>42</v>
      </c>
      <c r="H27" s="563">
        <v>2078.56</v>
      </c>
      <c r="I27" s="564">
        <v>12</v>
      </c>
      <c r="J27" s="565">
        <v>173.21333333333334</v>
      </c>
      <c r="K27" s="566">
        <v>6</v>
      </c>
      <c r="L27" s="567">
        <v>0.5</v>
      </c>
      <c r="M27" s="564">
        <v>4</v>
      </c>
      <c r="N27" s="568">
        <v>0.33333333333333331</v>
      </c>
      <c r="O27" s="565">
        <v>519.64</v>
      </c>
      <c r="P27" s="564">
        <v>0</v>
      </c>
      <c r="Q27" s="569">
        <v>0</v>
      </c>
      <c r="R27" s="570" t="s">
        <v>123</v>
      </c>
      <c r="S27" s="565" t="s">
        <v>123</v>
      </c>
      <c r="T27" s="564" t="s">
        <v>123</v>
      </c>
      <c r="U27" s="565" t="s">
        <v>123</v>
      </c>
      <c r="V27" s="566" t="s">
        <v>123</v>
      </c>
      <c r="W27" s="567" t="s">
        <v>123</v>
      </c>
      <c r="X27" s="564" t="s">
        <v>123</v>
      </c>
      <c r="Y27" s="568" t="s">
        <v>123</v>
      </c>
      <c r="Z27" s="565" t="s">
        <v>123</v>
      </c>
      <c r="AA27" s="564" t="s">
        <v>123</v>
      </c>
      <c r="AB27" s="569" t="s">
        <v>123</v>
      </c>
      <c r="AC27" s="571" t="s">
        <v>123</v>
      </c>
      <c r="AD27" s="572">
        <v>2078.56</v>
      </c>
      <c r="AE27" s="573">
        <v>12</v>
      </c>
      <c r="AF27" s="565">
        <v>173.21333333333334</v>
      </c>
      <c r="AG27" s="566">
        <v>6</v>
      </c>
      <c r="AH27" s="567">
        <v>0.5</v>
      </c>
      <c r="AI27" s="564">
        <v>4</v>
      </c>
      <c r="AJ27" s="568">
        <v>0.33333333333333331</v>
      </c>
      <c r="AK27" s="565">
        <v>519.64</v>
      </c>
      <c r="AL27" s="574">
        <v>0</v>
      </c>
      <c r="AM27" s="569">
        <v>0</v>
      </c>
      <c r="AN27" s="570" t="s">
        <v>123</v>
      </c>
      <c r="AO27" s="569"/>
      <c r="AP27" s="575"/>
      <c r="AQ27" s="576"/>
      <c r="AR27" s="577"/>
      <c r="AS27" s="578"/>
      <c r="AT27" s="579"/>
      <c r="AU27" s="580"/>
    </row>
    <row r="28" spans="1:47" ht="21" hidden="1" customHeight="1">
      <c r="A28" t="s">
        <v>173</v>
      </c>
      <c r="B28" t="s">
        <v>151</v>
      </c>
      <c r="C28" s="759"/>
      <c r="D28" s="561" t="s">
        <v>40</v>
      </c>
      <c r="E28" s="561" t="s">
        <v>142</v>
      </c>
      <c r="F28" s="561" t="s">
        <v>44</v>
      </c>
      <c r="G28" s="562" t="s">
        <v>60</v>
      </c>
      <c r="H28" s="563">
        <v>5436.96</v>
      </c>
      <c r="I28" s="564">
        <v>146</v>
      </c>
      <c r="J28" s="565">
        <v>37.239452054794519</v>
      </c>
      <c r="K28" s="566">
        <v>137</v>
      </c>
      <c r="L28" s="567">
        <v>6.1643835616438353E-2</v>
      </c>
      <c r="M28" s="564">
        <v>103</v>
      </c>
      <c r="N28" s="568">
        <v>0.24817518248175183</v>
      </c>
      <c r="O28" s="565">
        <v>52.786019417475728</v>
      </c>
      <c r="P28" s="564">
        <v>52</v>
      </c>
      <c r="Q28" s="569">
        <v>0.37956204379562042</v>
      </c>
      <c r="R28" s="570">
        <v>104.55692307692308</v>
      </c>
      <c r="S28" s="565" t="s">
        <v>123</v>
      </c>
      <c r="T28" s="564" t="s">
        <v>123</v>
      </c>
      <c r="U28" s="565" t="s">
        <v>123</v>
      </c>
      <c r="V28" s="566" t="s">
        <v>123</v>
      </c>
      <c r="W28" s="567" t="s">
        <v>123</v>
      </c>
      <c r="X28" s="564" t="s">
        <v>123</v>
      </c>
      <c r="Y28" s="568" t="s">
        <v>123</v>
      </c>
      <c r="Z28" s="565" t="s">
        <v>123</v>
      </c>
      <c r="AA28" s="564" t="s">
        <v>123</v>
      </c>
      <c r="AB28" s="569" t="s">
        <v>123</v>
      </c>
      <c r="AC28" s="571" t="s">
        <v>123</v>
      </c>
      <c r="AD28" s="572">
        <v>5436.96</v>
      </c>
      <c r="AE28" s="573">
        <v>146</v>
      </c>
      <c r="AF28" s="565">
        <v>37.239452054794519</v>
      </c>
      <c r="AG28" s="566">
        <v>137</v>
      </c>
      <c r="AH28" s="567">
        <v>6.1643835616438353E-2</v>
      </c>
      <c r="AI28" s="564">
        <v>103</v>
      </c>
      <c r="AJ28" s="568">
        <v>0.24817518248175183</v>
      </c>
      <c r="AK28" s="565">
        <v>52.786019417475728</v>
      </c>
      <c r="AL28" s="574">
        <v>52</v>
      </c>
      <c r="AM28" s="569">
        <v>0.37956204379562042</v>
      </c>
      <c r="AN28" s="570">
        <v>104.55692307692308</v>
      </c>
      <c r="AO28" s="569"/>
      <c r="AP28" s="575"/>
      <c r="AQ28" s="576">
        <v>0.53029999999999999</v>
      </c>
      <c r="AR28" s="577">
        <v>0.53500000000000003</v>
      </c>
      <c r="AS28" s="578"/>
      <c r="AT28" s="579"/>
      <c r="AU28" s="580"/>
    </row>
    <row r="29" spans="1:47" ht="21" hidden="1" customHeight="1">
      <c r="A29" t="s">
        <v>174</v>
      </c>
      <c r="B29" t="s">
        <v>153</v>
      </c>
      <c r="C29" s="759"/>
      <c r="D29" s="561" t="s">
        <v>52</v>
      </c>
      <c r="E29" s="561" t="s">
        <v>145</v>
      </c>
      <c r="F29" s="561" t="s">
        <v>44</v>
      </c>
      <c r="G29" s="562" t="s">
        <v>60</v>
      </c>
      <c r="H29" s="563">
        <v>6886.83</v>
      </c>
      <c r="I29" s="564">
        <v>212</v>
      </c>
      <c r="J29" s="565">
        <v>32.485047169811324</v>
      </c>
      <c r="K29" s="566">
        <v>196</v>
      </c>
      <c r="L29" s="567">
        <v>7.5471698113207544E-2</v>
      </c>
      <c r="M29" s="564">
        <v>148</v>
      </c>
      <c r="N29" s="568">
        <v>0.24489795918367346</v>
      </c>
      <c r="O29" s="565">
        <v>46.532635135135138</v>
      </c>
      <c r="P29" s="564">
        <v>55</v>
      </c>
      <c r="Q29" s="569">
        <v>0.28061224489795916</v>
      </c>
      <c r="R29" s="570">
        <v>125.2150909090909</v>
      </c>
      <c r="S29" s="565" t="s">
        <v>123</v>
      </c>
      <c r="T29" s="564" t="s">
        <v>123</v>
      </c>
      <c r="U29" s="565" t="s">
        <v>123</v>
      </c>
      <c r="V29" s="566" t="s">
        <v>123</v>
      </c>
      <c r="W29" s="567" t="s">
        <v>123</v>
      </c>
      <c r="X29" s="564" t="s">
        <v>123</v>
      </c>
      <c r="Y29" s="568" t="s">
        <v>123</v>
      </c>
      <c r="Z29" s="565" t="s">
        <v>123</v>
      </c>
      <c r="AA29" s="564" t="s">
        <v>123</v>
      </c>
      <c r="AB29" s="569" t="s">
        <v>123</v>
      </c>
      <c r="AC29" s="571" t="s">
        <v>123</v>
      </c>
      <c r="AD29" s="572">
        <v>6886.83</v>
      </c>
      <c r="AE29" s="573">
        <v>212</v>
      </c>
      <c r="AF29" s="565">
        <v>32.485047169811324</v>
      </c>
      <c r="AG29" s="566">
        <v>196</v>
      </c>
      <c r="AH29" s="567">
        <v>7.5471698113207544E-2</v>
      </c>
      <c r="AI29" s="564">
        <v>148</v>
      </c>
      <c r="AJ29" s="568">
        <v>0.24489795918367346</v>
      </c>
      <c r="AK29" s="565">
        <v>46.532635135135138</v>
      </c>
      <c r="AL29" s="574">
        <v>55</v>
      </c>
      <c r="AM29" s="569">
        <v>0.28061224489795916</v>
      </c>
      <c r="AN29" s="570">
        <v>125.2150909090909</v>
      </c>
      <c r="AO29" s="569"/>
      <c r="AP29" s="575"/>
      <c r="AQ29" s="576">
        <v>0.71279999999999999</v>
      </c>
      <c r="AR29" s="577">
        <v>0.70720000000000005</v>
      </c>
      <c r="AS29" s="578"/>
      <c r="AT29" s="579"/>
      <c r="AU29" s="580"/>
    </row>
    <row r="30" spans="1:47" ht="21" hidden="1" customHeight="1">
      <c r="A30" t="s">
        <v>175</v>
      </c>
      <c r="B30" t="s">
        <v>155</v>
      </c>
      <c r="C30" s="760"/>
      <c r="D30" s="561" t="s">
        <v>40</v>
      </c>
      <c r="E30" s="561" t="s">
        <v>57</v>
      </c>
      <c r="F30" s="561" t="s">
        <v>57</v>
      </c>
      <c r="G30" s="562" t="s">
        <v>60</v>
      </c>
      <c r="H30" s="563">
        <v>39250.800000000003</v>
      </c>
      <c r="I30" s="581">
        <v>4194</v>
      </c>
      <c r="J30" s="582">
        <v>9.3587982832618035</v>
      </c>
      <c r="K30" s="566">
        <v>2364</v>
      </c>
      <c r="L30" s="567">
        <v>0.4363376251788269</v>
      </c>
      <c r="M30" s="564">
        <v>1170</v>
      </c>
      <c r="N30" s="568">
        <v>0.50507614213197971</v>
      </c>
      <c r="O30" s="586">
        <v>33.547692307692309</v>
      </c>
      <c r="P30" s="564">
        <v>296</v>
      </c>
      <c r="Q30" s="569">
        <v>0.12521150592216582</v>
      </c>
      <c r="R30" s="570">
        <v>132.60405405405407</v>
      </c>
      <c r="S30" s="565">
        <v>39250.800000000003</v>
      </c>
      <c r="T30" s="564">
        <v>4194</v>
      </c>
      <c r="U30" s="565">
        <v>9.3587982832618035</v>
      </c>
      <c r="V30" s="566">
        <v>2364</v>
      </c>
      <c r="W30" s="567">
        <v>0.4363376251788269</v>
      </c>
      <c r="X30" s="564">
        <v>1170</v>
      </c>
      <c r="Y30" s="568">
        <v>0.50507614213197971</v>
      </c>
      <c r="Z30" s="586">
        <v>33.547692307692309</v>
      </c>
      <c r="AA30" s="564">
        <v>296</v>
      </c>
      <c r="AB30" s="569">
        <v>0.12521150592216582</v>
      </c>
      <c r="AC30" s="571">
        <v>132.60405405405407</v>
      </c>
      <c r="AD30" s="572" t="s">
        <v>123</v>
      </c>
      <c r="AE30" s="573" t="s">
        <v>123</v>
      </c>
      <c r="AF30" s="565" t="s">
        <v>123</v>
      </c>
      <c r="AG30" s="566" t="s">
        <v>123</v>
      </c>
      <c r="AH30" s="567" t="s">
        <v>123</v>
      </c>
      <c r="AI30" s="564" t="s">
        <v>123</v>
      </c>
      <c r="AJ30" s="568" t="s">
        <v>123</v>
      </c>
      <c r="AK30" s="586" t="s">
        <v>123</v>
      </c>
      <c r="AL30" s="574" t="s">
        <v>123</v>
      </c>
      <c r="AM30" s="569" t="s">
        <v>123</v>
      </c>
      <c r="AN30" s="570" t="s">
        <v>123</v>
      </c>
      <c r="AO30" s="569"/>
      <c r="AP30" s="587"/>
      <c r="AQ30" s="576"/>
      <c r="AR30" s="588"/>
      <c r="AS30" s="578"/>
      <c r="AT30" s="579"/>
      <c r="AU30" s="580"/>
    </row>
    <row r="31" spans="1:47" ht="49.95" customHeight="1">
      <c r="C31" s="758" t="s">
        <v>176</v>
      </c>
      <c r="D31" s="541"/>
      <c r="E31" s="541"/>
      <c r="F31" s="541"/>
      <c r="G31" s="542" t="s">
        <v>139</v>
      </c>
      <c r="H31" s="543">
        <v>82790.42</v>
      </c>
      <c r="I31" s="544">
        <v>6182</v>
      </c>
      <c r="J31" s="545">
        <v>13.392174053704302</v>
      </c>
      <c r="K31" s="546">
        <v>4036</v>
      </c>
      <c r="L31" s="547">
        <v>0.34713684891620833</v>
      </c>
      <c r="M31" s="544">
        <v>2846</v>
      </c>
      <c r="N31" s="548">
        <v>0.29484638255698714</v>
      </c>
      <c r="O31" s="549">
        <v>29.090098383696414</v>
      </c>
      <c r="P31" s="544">
        <v>709</v>
      </c>
      <c r="Q31" s="548">
        <v>0.17566897918731417</v>
      </c>
      <c r="R31" s="550">
        <v>116.77069111424541</v>
      </c>
      <c r="S31" s="545">
        <v>51516.759999999995</v>
      </c>
      <c r="T31" s="544">
        <v>4774</v>
      </c>
      <c r="U31" s="545">
        <v>10.791110180142438</v>
      </c>
      <c r="V31" s="546">
        <v>2743</v>
      </c>
      <c r="W31" s="547">
        <v>0.42542940930037704</v>
      </c>
      <c r="X31" s="544">
        <v>1765</v>
      </c>
      <c r="Y31" s="548">
        <v>0.35654393000364565</v>
      </c>
      <c r="Z31" s="549">
        <v>29.187966005665718</v>
      </c>
      <c r="AA31" s="544">
        <v>305</v>
      </c>
      <c r="AB31" s="548">
        <v>0.11119212541013489</v>
      </c>
      <c r="AC31" s="551">
        <v>168.90740983606557</v>
      </c>
      <c r="AD31" s="552">
        <v>31273.66</v>
      </c>
      <c r="AE31" s="553">
        <v>1408</v>
      </c>
      <c r="AF31" s="545">
        <v>22.21140625</v>
      </c>
      <c r="AG31" s="546">
        <v>1293</v>
      </c>
      <c r="AH31" s="547">
        <v>8.1676136363636367E-2</v>
      </c>
      <c r="AI31" s="553">
        <v>1081</v>
      </c>
      <c r="AJ31" s="548">
        <v>0.16395978344934262</v>
      </c>
      <c r="AK31" s="549">
        <v>28.930305272895467</v>
      </c>
      <c r="AL31" s="554">
        <v>404</v>
      </c>
      <c r="AM31" s="548">
        <v>0.31245166279969067</v>
      </c>
      <c r="AN31" s="550">
        <v>77.410049504950493</v>
      </c>
      <c r="AO31" s="548">
        <v>0.7218</v>
      </c>
      <c r="AP31" s="555">
        <v>0.43359999999999999</v>
      </c>
      <c r="AQ31" s="556">
        <v>0.53920000000000001</v>
      </c>
      <c r="AR31" s="557">
        <v>0.54139999999999999</v>
      </c>
      <c r="AS31" s="558">
        <v>1.85</v>
      </c>
      <c r="AT31" s="583"/>
      <c r="AU31" s="589" t="s">
        <v>177</v>
      </c>
    </row>
    <row r="32" spans="1:47" ht="21" hidden="1" customHeight="1">
      <c r="A32" t="s">
        <v>178</v>
      </c>
      <c r="B32" t="s">
        <v>141</v>
      </c>
      <c r="C32" s="759"/>
      <c r="D32" s="561" t="s">
        <v>40</v>
      </c>
      <c r="E32" s="561" t="s">
        <v>142</v>
      </c>
      <c r="F32" s="561" t="s">
        <v>44</v>
      </c>
      <c r="G32" s="562" t="s">
        <v>42</v>
      </c>
      <c r="H32" s="563">
        <v>7066.51</v>
      </c>
      <c r="I32" s="564">
        <v>472</v>
      </c>
      <c r="J32" s="565">
        <v>14.971419491525424</v>
      </c>
      <c r="K32" s="566">
        <v>442</v>
      </c>
      <c r="L32" s="567">
        <v>6.3559322033898302E-2</v>
      </c>
      <c r="M32" s="564">
        <v>371</v>
      </c>
      <c r="N32" s="568">
        <v>0.16063348416289594</v>
      </c>
      <c r="O32" s="565">
        <v>19.047196765498654</v>
      </c>
      <c r="P32" s="564">
        <v>157</v>
      </c>
      <c r="Q32" s="569">
        <v>0.35520361990950228</v>
      </c>
      <c r="R32" s="570">
        <v>45.009617834394909</v>
      </c>
      <c r="S32" s="565" t="s">
        <v>123</v>
      </c>
      <c r="T32" s="564" t="s">
        <v>123</v>
      </c>
      <c r="U32" s="565" t="s">
        <v>123</v>
      </c>
      <c r="V32" s="566" t="s">
        <v>123</v>
      </c>
      <c r="W32" s="567" t="s">
        <v>123</v>
      </c>
      <c r="X32" s="564" t="s">
        <v>123</v>
      </c>
      <c r="Y32" s="568" t="s">
        <v>123</v>
      </c>
      <c r="Z32" s="565" t="s">
        <v>123</v>
      </c>
      <c r="AA32" s="564" t="s">
        <v>123</v>
      </c>
      <c r="AB32" s="569" t="s">
        <v>123</v>
      </c>
      <c r="AC32" s="571" t="s">
        <v>123</v>
      </c>
      <c r="AD32" s="572">
        <v>7066.51</v>
      </c>
      <c r="AE32" s="573">
        <v>472</v>
      </c>
      <c r="AF32" s="565">
        <v>14.971419491525424</v>
      </c>
      <c r="AG32" s="566">
        <v>442</v>
      </c>
      <c r="AH32" s="567">
        <v>6.3559322033898302E-2</v>
      </c>
      <c r="AI32" s="564">
        <v>371</v>
      </c>
      <c r="AJ32" s="568">
        <v>0.16063348416289594</v>
      </c>
      <c r="AK32" s="565">
        <v>19.047196765498654</v>
      </c>
      <c r="AL32" s="574">
        <v>157</v>
      </c>
      <c r="AM32" s="569">
        <v>0.35520361990950228</v>
      </c>
      <c r="AN32" s="570">
        <v>45.009617834394909</v>
      </c>
      <c r="AO32" s="569"/>
      <c r="AP32" s="575"/>
      <c r="AQ32" s="576"/>
      <c r="AR32" s="577"/>
      <c r="AS32" s="578"/>
      <c r="AT32" s="579"/>
      <c r="AU32" s="580"/>
    </row>
    <row r="33" spans="1:47" ht="21" hidden="1" customHeight="1">
      <c r="A33" t="s">
        <v>179</v>
      </c>
      <c r="B33" t="s">
        <v>144</v>
      </c>
      <c r="C33" s="759"/>
      <c r="D33" s="561" t="s">
        <v>52</v>
      </c>
      <c r="E33" s="561" t="s">
        <v>145</v>
      </c>
      <c r="F33" s="561" t="s">
        <v>44</v>
      </c>
      <c r="G33" s="562" t="s">
        <v>42</v>
      </c>
      <c r="H33" s="563">
        <v>7224.82</v>
      </c>
      <c r="I33" s="564">
        <v>350</v>
      </c>
      <c r="J33" s="565">
        <v>20.642342857142857</v>
      </c>
      <c r="K33" s="566">
        <v>301</v>
      </c>
      <c r="L33" s="567">
        <v>0.14000000000000001</v>
      </c>
      <c r="M33" s="564">
        <v>251</v>
      </c>
      <c r="N33" s="568">
        <v>0.16611295681063123</v>
      </c>
      <c r="O33" s="565">
        <v>28.784143426294818</v>
      </c>
      <c r="P33" s="564">
        <v>75</v>
      </c>
      <c r="Q33" s="569">
        <v>0.24916943521594684</v>
      </c>
      <c r="R33" s="570">
        <v>96.330933333333334</v>
      </c>
      <c r="S33" s="565" t="s">
        <v>123</v>
      </c>
      <c r="T33" s="564" t="s">
        <v>123</v>
      </c>
      <c r="U33" s="565" t="s">
        <v>123</v>
      </c>
      <c r="V33" s="566" t="s">
        <v>123</v>
      </c>
      <c r="W33" s="567" t="s">
        <v>123</v>
      </c>
      <c r="X33" s="564" t="s">
        <v>123</v>
      </c>
      <c r="Y33" s="568" t="s">
        <v>123</v>
      </c>
      <c r="Z33" s="565" t="s">
        <v>123</v>
      </c>
      <c r="AA33" s="564" t="s">
        <v>123</v>
      </c>
      <c r="AB33" s="569" t="s">
        <v>123</v>
      </c>
      <c r="AC33" s="571" t="s">
        <v>123</v>
      </c>
      <c r="AD33" s="572">
        <v>7224.82</v>
      </c>
      <c r="AE33" s="573">
        <v>350</v>
      </c>
      <c r="AF33" s="565">
        <v>20.642342857142857</v>
      </c>
      <c r="AG33" s="566">
        <v>301</v>
      </c>
      <c r="AH33" s="567">
        <v>0.14000000000000001</v>
      </c>
      <c r="AI33" s="564">
        <v>251</v>
      </c>
      <c r="AJ33" s="568">
        <v>0.16611295681063123</v>
      </c>
      <c r="AK33" s="565">
        <v>28.784143426294818</v>
      </c>
      <c r="AL33" s="574">
        <v>75</v>
      </c>
      <c r="AM33" s="569">
        <v>0.24916943521594684</v>
      </c>
      <c r="AN33" s="570">
        <v>96.330933333333334</v>
      </c>
      <c r="AO33" s="569"/>
      <c r="AP33" s="575"/>
      <c r="AQ33" s="576"/>
      <c r="AR33" s="577"/>
      <c r="AS33" s="578"/>
      <c r="AT33" s="579"/>
      <c r="AU33" s="580"/>
    </row>
    <row r="34" spans="1:47" ht="21" hidden="1" customHeight="1">
      <c r="A34" t="s">
        <v>180</v>
      </c>
      <c r="B34" t="s">
        <v>147</v>
      </c>
      <c r="C34" s="759"/>
      <c r="D34" s="561" t="s">
        <v>40</v>
      </c>
      <c r="E34" s="561" t="s">
        <v>57</v>
      </c>
      <c r="F34" s="561" t="s">
        <v>57</v>
      </c>
      <c r="G34" s="562" t="s">
        <v>42</v>
      </c>
      <c r="H34" s="563">
        <v>14651</v>
      </c>
      <c r="I34" s="564">
        <v>1836</v>
      </c>
      <c r="J34" s="565">
        <v>7.9798474945533773</v>
      </c>
      <c r="K34" s="566">
        <v>952</v>
      </c>
      <c r="L34" s="567">
        <v>0.48148148148148145</v>
      </c>
      <c r="M34" s="564">
        <v>445</v>
      </c>
      <c r="N34" s="568">
        <v>0.53256302521008403</v>
      </c>
      <c r="O34" s="565">
        <v>32.923595505617975</v>
      </c>
      <c r="P34" s="564">
        <v>20</v>
      </c>
      <c r="Q34" s="569">
        <v>2.100840336134454E-2</v>
      </c>
      <c r="R34" s="570">
        <v>732.55</v>
      </c>
      <c r="S34" s="565">
        <v>14651</v>
      </c>
      <c r="T34" s="564">
        <v>1836</v>
      </c>
      <c r="U34" s="565">
        <v>7.9798474945533773</v>
      </c>
      <c r="V34" s="566">
        <v>952</v>
      </c>
      <c r="W34" s="567">
        <v>0.48148148148148145</v>
      </c>
      <c r="X34" s="564">
        <v>445</v>
      </c>
      <c r="Y34" s="568">
        <v>0.53256302521008403</v>
      </c>
      <c r="Z34" s="565">
        <v>32.923595505617975</v>
      </c>
      <c r="AA34" s="564">
        <v>20</v>
      </c>
      <c r="AB34" s="569">
        <v>2.100840336134454E-2</v>
      </c>
      <c r="AC34" s="571">
        <v>732.55</v>
      </c>
      <c r="AD34" s="572" t="s">
        <v>123</v>
      </c>
      <c r="AE34" s="573" t="s">
        <v>123</v>
      </c>
      <c r="AF34" s="565" t="s">
        <v>123</v>
      </c>
      <c r="AG34" s="566" t="s">
        <v>123</v>
      </c>
      <c r="AH34" s="567" t="s">
        <v>123</v>
      </c>
      <c r="AI34" s="564" t="s">
        <v>123</v>
      </c>
      <c r="AJ34" s="568" t="s">
        <v>123</v>
      </c>
      <c r="AK34" s="565" t="s">
        <v>123</v>
      </c>
      <c r="AL34" s="574" t="s">
        <v>123</v>
      </c>
      <c r="AM34" s="569" t="s">
        <v>123</v>
      </c>
      <c r="AN34" s="570" t="s">
        <v>123</v>
      </c>
      <c r="AO34" s="569"/>
      <c r="AP34" s="575"/>
      <c r="AQ34" s="576"/>
      <c r="AR34" s="577"/>
      <c r="AS34" s="578"/>
      <c r="AT34" s="579"/>
      <c r="AU34" s="580"/>
    </row>
    <row r="35" spans="1:47" ht="21" hidden="1" customHeight="1">
      <c r="A35" t="s">
        <v>181</v>
      </c>
      <c r="B35" t="s">
        <v>149</v>
      </c>
      <c r="C35" s="759"/>
      <c r="D35" s="561" t="s">
        <v>52</v>
      </c>
      <c r="E35" s="561" t="s">
        <v>121</v>
      </c>
      <c r="F35" s="561" t="s">
        <v>44</v>
      </c>
      <c r="G35" s="562" t="s">
        <v>42</v>
      </c>
      <c r="H35" s="563">
        <v>2179.98</v>
      </c>
      <c r="I35" s="564">
        <v>15</v>
      </c>
      <c r="J35" s="565">
        <v>145.33199999999999</v>
      </c>
      <c r="K35" s="566">
        <v>15</v>
      </c>
      <c r="L35" s="567">
        <v>0</v>
      </c>
      <c r="M35" s="564">
        <v>14</v>
      </c>
      <c r="N35" s="568">
        <v>6.6666666666666666E-2</v>
      </c>
      <c r="O35" s="565">
        <v>155.71285714285713</v>
      </c>
      <c r="P35" s="564">
        <v>4</v>
      </c>
      <c r="Q35" s="569">
        <v>0.26666666666666666</v>
      </c>
      <c r="R35" s="570">
        <v>544.995</v>
      </c>
      <c r="S35" s="565" t="s">
        <v>123</v>
      </c>
      <c r="T35" s="564" t="s">
        <v>123</v>
      </c>
      <c r="U35" s="565" t="s">
        <v>123</v>
      </c>
      <c r="V35" s="566" t="s">
        <v>123</v>
      </c>
      <c r="W35" s="567" t="s">
        <v>123</v>
      </c>
      <c r="X35" s="564" t="s">
        <v>123</v>
      </c>
      <c r="Y35" s="568" t="s">
        <v>123</v>
      </c>
      <c r="Z35" s="565" t="s">
        <v>123</v>
      </c>
      <c r="AA35" s="564" t="s">
        <v>123</v>
      </c>
      <c r="AB35" s="569" t="s">
        <v>123</v>
      </c>
      <c r="AC35" s="571" t="s">
        <v>123</v>
      </c>
      <c r="AD35" s="572">
        <v>2179.98</v>
      </c>
      <c r="AE35" s="573">
        <v>15</v>
      </c>
      <c r="AF35" s="565">
        <v>145.33199999999999</v>
      </c>
      <c r="AG35" s="566">
        <v>15</v>
      </c>
      <c r="AH35" s="567">
        <v>0</v>
      </c>
      <c r="AI35" s="564">
        <v>14</v>
      </c>
      <c r="AJ35" s="568">
        <v>6.6666666666666666E-2</v>
      </c>
      <c r="AK35" s="565">
        <v>155.71285714285713</v>
      </c>
      <c r="AL35" s="574">
        <v>4</v>
      </c>
      <c r="AM35" s="569">
        <v>0.26666666666666666</v>
      </c>
      <c r="AN35" s="570">
        <v>544.995</v>
      </c>
      <c r="AO35" s="569"/>
      <c r="AP35" s="575"/>
      <c r="AQ35" s="576"/>
      <c r="AR35" s="577"/>
      <c r="AS35" s="578"/>
      <c r="AT35" s="579"/>
      <c r="AU35" s="580"/>
    </row>
    <row r="36" spans="1:47" ht="21" hidden="1" customHeight="1">
      <c r="A36" t="s">
        <v>182</v>
      </c>
      <c r="B36" t="s">
        <v>151</v>
      </c>
      <c r="C36" s="759"/>
      <c r="D36" s="561" t="s">
        <v>40</v>
      </c>
      <c r="E36" s="561" t="s">
        <v>142</v>
      </c>
      <c r="F36" s="561" t="s">
        <v>44</v>
      </c>
      <c r="G36" s="562" t="s">
        <v>60</v>
      </c>
      <c r="H36" s="563">
        <v>7829.37</v>
      </c>
      <c r="I36" s="564">
        <v>350</v>
      </c>
      <c r="J36" s="565">
        <v>22.369628571428571</v>
      </c>
      <c r="K36" s="566">
        <v>331</v>
      </c>
      <c r="L36" s="567">
        <v>5.4285714285714284E-2</v>
      </c>
      <c r="M36" s="564">
        <v>276</v>
      </c>
      <c r="N36" s="568">
        <v>0.16616314199395771</v>
      </c>
      <c r="O36" s="565">
        <v>28.367282608695653</v>
      </c>
      <c r="P36" s="564">
        <v>114</v>
      </c>
      <c r="Q36" s="569">
        <v>0.34441087613293053</v>
      </c>
      <c r="R36" s="570">
        <v>68.678684210526313</v>
      </c>
      <c r="S36" s="565" t="s">
        <v>123</v>
      </c>
      <c r="T36" s="564" t="s">
        <v>123</v>
      </c>
      <c r="U36" s="565" t="s">
        <v>123</v>
      </c>
      <c r="V36" s="566" t="s">
        <v>123</v>
      </c>
      <c r="W36" s="567" t="s">
        <v>123</v>
      </c>
      <c r="X36" s="564" t="s">
        <v>123</v>
      </c>
      <c r="Y36" s="568" t="s">
        <v>123</v>
      </c>
      <c r="Z36" s="565" t="s">
        <v>123</v>
      </c>
      <c r="AA36" s="564" t="s">
        <v>123</v>
      </c>
      <c r="AB36" s="569" t="s">
        <v>123</v>
      </c>
      <c r="AC36" s="571" t="s">
        <v>123</v>
      </c>
      <c r="AD36" s="572">
        <v>7829.37</v>
      </c>
      <c r="AE36" s="573">
        <v>350</v>
      </c>
      <c r="AF36" s="565">
        <v>22.369628571428571</v>
      </c>
      <c r="AG36" s="566">
        <v>331</v>
      </c>
      <c r="AH36" s="567">
        <v>5.4285714285714284E-2</v>
      </c>
      <c r="AI36" s="564">
        <v>276</v>
      </c>
      <c r="AJ36" s="568">
        <v>0.16616314199395771</v>
      </c>
      <c r="AK36" s="565">
        <v>28.367282608695653</v>
      </c>
      <c r="AL36" s="574">
        <v>114</v>
      </c>
      <c r="AM36" s="569">
        <v>0.34441087613293053</v>
      </c>
      <c r="AN36" s="570">
        <v>68.678684210526313</v>
      </c>
      <c r="AO36" s="569"/>
      <c r="AP36" s="575"/>
      <c r="AQ36" s="576">
        <v>0.7218</v>
      </c>
      <c r="AR36" s="577">
        <v>0.7329</v>
      </c>
      <c r="AS36" s="578"/>
      <c r="AT36" s="579"/>
      <c r="AU36" s="580"/>
    </row>
    <row r="37" spans="1:47" ht="21" hidden="1" customHeight="1">
      <c r="A37" t="s">
        <v>183</v>
      </c>
      <c r="B37" t="s">
        <v>153</v>
      </c>
      <c r="C37" s="759"/>
      <c r="D37" s="561" t="s">
        <v>52</v>
      </c>
      <c r="E37" s="561" t="s">
        <v>145</v>
      </c>
      <c r="F37" s="561" t="s">
        <v>44</v>
      </c>
      <c r="G37" s="562" t="s">
        <v>60</v>
      </c>
      <c r="H37" s="563">
        <v>6972.98</v>
      </c>
      <c r="I37" s="564">
        <v>221</v>
      </c>
      <c r="J37" s="565">
        <v>31.551945701357464</v>
      </c>
      <c r="K37" s="566">
        <v>204</v>
      </c>
      <c r="L37" s="567">
        <v>7.6923076923076927E-2</v>
      </c>
      <c r="M37" s="564">
        <v>169</v>
      </c>
      <c r="N37" s="568">
        <v>0.17156862745098039</v>
      </c>
      <c r="O37" s="565">
        <v>41.260236686390527</v>
      </c>
      <c r="P37" s="564">
        <v>54</v>
      </c>
      <c r="Q37" s="569">
        <v>0.26470588235294118</v>
      </c>
      <c r="R37" s="570">
        <v>129.12925925925924</v>
      </c>
      <c r="S37" s="565" t="s">
        <v>123</v>
      </c>
      <c r="T37" s="564" t="s">
        <v>123</v>
      </c>
      <c r="U37" s="565" t="s">
        <v>123</v>
      </c>
      <c r="V37" s="566" t="s">
        <v>123</v>
      </c>
      <c r="W37" s="567" t="s">
        <v>123</v>
      </c>
      <c r="X37" s="564" t="s">
        <v>123</v>
      </c>
      <c r="Y37" s="568" t="s">
        <v>123</v>
      </c>
      <c r="Z37" s="565" t="s">
        <v>123</v>
      </c>
      <c r="AA37" s="564" t="s">
        <v>123</v>
      </c>
      <c r="AB37" s="569" t="s">
        <v>123</v>
      </c>
      <c r="AC37" s="571" t="s">
        <v>123</v>
      </c>
      <c r="AD37" s="572">
        <v>6972.98</v>
      </c>
      <c r="AE37" s="573">
        <v>221</v>
      </c>
      <c r="AF37" s="565">
        <v>31.551945701357464</v>
      </c>
      <c r="AG37" s="566">
        <v>204</v>
      </c>
      <c r="AH37" s="567">
        <v>7.6923076923076927E-2</v>
      </c>
      <c r="AI37" s="564">
        <v>169</v>
      </c>
      <c r="AJ37" s="568">
        <v>0.17156862745098039</v>
      </c>
      <c r="AK37" s="565">
        <v>41.260236686390527</v>
      </c>
      <c r="AL37" s="574">
        <v>54</v>
      </c>
      <c r="AM37" s="569">
        <v>0.26470588235294118</v>
      </c>
      <c r="AN37" s="570">
        <v>129.12925925925924</v>
      </c>
      <c r="AO37" s="569"/>
      <c r="AP37" s="575"/>
      <c r="AQ37" s="576">
        <v>0.43359999999999999</v>
      </c>
      <c r="AR37" s="577">
        <v>0.43180000000000002</v>
      </c>
      <c r="AS37" s="578"/>
      <c r="AT37" s="579"/>
      <c r="AU37" s="580"/>
    </row>
    <row r="38" spans="1:47" ht="21" hidden="1" customHeight="1">
      <c r="A38" t="s">
        <v>184</v>
      </c>
      <c r="B38" t="s">
        <v>155</v>
      </c>
      <c r="C38" s="760"/>
      <c r="D38" s="561" t="s">
        <v>40</v>
      </c>
      <c r="E38" s="561" t="s">
        <v>57</v>
      </c>
      <c r="F38" s="561" t="s">
        <v>57</v>
      </c>
      <c r="G38" s="562" t="s">
        <v>60</v>
      </c>
      <c r="H38" s="563">
        <v>36865.759999999995</v>
      </c>
      <c r="I38" s="581">
        <v>2938</v>
      </c>
      <c r="J38" s="582">
        <v>12.54791014295439</v>
      </c>
      <c r="K38" s="566">
        <v>1791</v>
      </c>
      <c r="L38" s="567">
        <v>0.39040163376446563</v>
      </c>
      <c r="M38" s="564">
        <v>1320</v>
      </c>
      <c r="N38" s="568">
        <v>0.26298157453936349</v>
      </c>
      <c r="O38" s="586">
        <v>27.928606060606057</v>
      </c>
      <c r="P38" s="564">
        <v>285</v>
      </c>
      <c r="Q38" s="569">
        <v>0.15912897822445563</v>
      </c>
      <c r="R38" s="570">
        <v>129.35354385964911</v>
      </c>
      <c r="S38" s="565">
        <v>36865.759999999995</v>
      </c>
      <c r="T38" s="564">
        <v>2938</v>
      </c>
      <c r="U38" s="565">
        <v>12.54791014295439</v>
      </c>
      <c r="V38" s="566">
        <v>1791</v>
      </c>
      <c r="W38" s="567">
        <v>0.39040163376446563</v>
      </c>
      <c r="X38" s="564">
        <v>1320</v>
      </c>
      <c r="Y38" s="568">
        <v>0.26298157453936349</v>
      </c>
      <c r="Z38" s="586">
        <v>27.928606060606057</v>
      </c>
      <c r="AA38" s="564">
        <v>285</v>
      </c>
      <c r="AB38" s="569">
        <v>0.15912897822445563</v>
      </c>
      <c r="AC38" s="571">
        <v>129.35354385964911</v>
      </c>
      <c r="AD38" s="572" t="s">
        <v>123</v>
      </c>
      <c r="AE38" s="573" t="s">
        <v>123</v>
      </c>
      <c r="AF38" s="565" t="s">
        <v>123</v>
      </c>
      <c r="AG38" s="566" t="s">
        <v>123</v>
      </c>
      <c r="AH38" s="567" t="s">
        <v>123</v>
      </c>
      <c r="AI38" s="564" t="s">
        <v>123</v>
      </c>
      <c r="AJ38" s="568" t="s">
        <v>123</v>
      </c>
      <c r="AK38" s="586" t="s">
        <v>123</v>
      </c>
      <c r="AL38" s="574" t="s">
        <v>123</v>
      </c>
      <c r="AM38" s="569" t="s">
        <v>123</v>
      </c>
      <c r="AN38" s="570" t="s">
        <v>123</v>
      </c>
      <c r="AO38" s="569"/>
      <c r="AP38" s="587"/>
      <c r="AQ38" s="576"/>
      <c r="AR38" s="588"/>
      <c r="AS38" s="578"/>
      <c r="AT38" s="579"/>
      <c r="AU38" s="580"/>
    </row>
    <row r="39" spans="1:47" ht="49.95" customHeight="1">
      <c r="C39" s="758" t="s">
        <v>185</v>
      </c>
      <c r="D39" s="541"/>
      <c r="E39" s="541"/>
      <c r="F39" s="541"/>
      <c r="G39" s="542" t="s">
        <v>139</v>
      </c>
      <c r="H39" s="543">
        <v>85095.78</v>
      </c>
      <c r="I39" s="544">
        <v>7584</v>
      </c>
      <c r="J39" s="545">
        <v>11.220435126582279</v>
      </c>
      <c r="K39" s="546">
        <v>4580</v>
      </c>
      <c r="L39" s="547">
        <v>0.39609704641350213</v>
      </c>
      <c r="M39" s="544">
        <v>4212</v>
      </c>
      <c r="N39" s="548">
        <v>8.034934497816594E-2</v>
      </c>
      <c r="O39" s="549">
        <v>20.20317663817664</v>
      </c>
      <c r="P39" s="544">
        <v>820</v>
      </c>
      <c r="Q39" s="548">
        <v>0.17903930131004367</v>
      </c>
      <c r="R39" s="550">
        <v>103.77534146341463</v>
      </c>
      <c r="S39" s="545">
        <v>53496.17</v>
      </c>
      <c r="T39" s="544">
        <v>6211</v>
      </c>
      <c r="U39" s="545">
        <v>8.6131331508613744</v>
      </c>
      <c r="V39" s="546">
        <v>3317</v>
      </c>
      <c r="W39" s="547">
        <v>0.46594751247786187</v>
      </c>
      <c r="X39" s="544">
        <v>3019</v>
      </c>
      <c r="Y39" s="548">
        <v>8.9840217063611699E-2</v>
      </c>
      <c r="Z39" s="549">
        <v>17.719831069890692</v>
      </c>
      <c r="AA39" s="544">
        <v>400</v>
      </c>
      <c r="AB39" s="548">
        <v>0.12059089538739826</v>
      </c>
      <c r="AC39" s="551">
        <v>133.74042499999999</v>
      </c>
      <c r="AD39" s="552">
        <v>31599.61</v>
      </c>
      <c r="AE39" s="553">
        <v>1373</v>
      </c>
      <c r="AF39" s="545">
        <v>23.015010924981791</v>
      </c>
      <c r="AG39" s="546">
        <v>1263</v>
      </c>
      <c r="AH39" s="547">
        <v>8.0116533139111434E-2</v>
      </c>
      <c r="AI39" s="553">
        <v>1193</v>
      </c>
      <c r="AJ39" s="548">
        <v>5.5423594615993665E-2</v>
      </c>
      <c r="AK39" s="549">
        <v>26.487518860016763</v>
      </c>
      <c r="AL39" s="554">
        <v>420</v>
      </c>
      <c r="AM39" s="548">
        <v>0.33254156769596199</v>
      </c>
      <c r="AN39" s="550">
        <v>75.237166666666667</v>
      </c>
      <c r="AO39" s="548">
        <v>0.89200000000000002</v>
      </c>
      <c r="AP39" s="555">
        <v>0.87480000000000002</v>
      </c>
      <c r="AQ39" s="556">
        <v>0.88029999999999997</v>
      </c>
      <c r="AR39" s="557">
        <v>0.88260000000000005</v>
      </c>
      <c r="AS39" s="558">
        <v>1.86</v>
      </c>
      <c r="AT39" s="583" t="s">
        <v>186</v>
      </c>
      <c r="AU39" s="589" t="s">
        <v>187</v>
      </c>
    </row>
    <row r="40" spans="1:47" ht="21" hidden="1" customHeight="1">
      <c r="A40" t="s">
        <v>188</v>
      </c>
      <c r="B40" t="s">
        <v>141</v>
      </c>
      <c r="C40" s="759"/>
      <c r="D40" s="561" t="s">
        <v>40</v>
      </c>
      <c r="E40" s="561" t="s">
        <v>142</v>
      </c>
      <c r="F40" s="561" t="s">
        <v>44</v>
      </c>
      <c r="G40" s="562" t="s">
        <v>42</v>
      </c>
      <c r="H40" s="563">
        <v>6442.33</v>
      </c>
      <c r="I40" s="564">
        <v>361</v>
      </c>
      <c r="J40" s="565">
        <v>17.84578947368421</v>
      </c>
      <c r="K40" s="566">
        <v>345</v>
      </c>
      <c r="L40" s="567">
        <v>4.4321329639889197E-2</v>
      </c>
      <c r="M40" s="564">
        <v>315</v>
      </c>
      <c r="N40" s="568">
        <v>8.6956521739130432E-2</v>
      </c>
      <c r="O40" s="565">
        <v>20.451841269841271</v>
      </c>
      <c r="P40" s="564">
        <v>149</v>
      </c>
      <c r="Q40" s="569">
        <v>0.43188405797101448</v>
      </c>
      <c r="R40" s="570">
        <v>43.237114093959732</v>
      </c>
      <c r="S40" s="565" t="s">
        <v>123</v>
      </c>
      <c r="T40" s="564" t="s">
        <v>123</v>
      </c>
      <c r="U40" s="565" t="s">
        <v>123</v>
      </c>
      <c r="V40" s="566" t="s">
        <v>123</v>
      </c>
      <c r="W40" s="567" t="s">
        <v>123</v>
      </c>
      <c r="X40" s="564" t="s">
        <v>123</v>
      </c>
      <c r="Y40" s="568" t="s">
        <v>123</v>
      </c>
      <c r="Z40" s="565" t="s">
        <v>123</v>
      </c>
      <c r="AA40" s="564" t="s">
        <v>123</v>
      </c>
      <c r="AB40" s="569" t="s">
        <v>123</v>
      </c>
      <c r="AC40" s="571" t="s">
        <v>123</v>
      </c>
      <c r="AD40" s="572">
        <v>6442.33</v>
      </c>
      <c r="AE40" s="573">
        <v>361</v>
      </c>
      <c r="AF40" s="565">
        <v>17.84578947368421</v>
      </c>
      <c r="AG40" s="566">
        <v>345</v>
      </c>
      <c r="AH40" s="567">
        <v>4.4321329639889197E-2</v>
      </c>
      <c r="AI40" s="564">
        <v>315</v>
      </c>
      <c r="AJ40" s="568">
        <v>8.6956521739130432E-2</v>
      </c>
      <c r="AK40" s="565">
        <v>20.451841269841271</v>
      </c>
      <c r="AL40" s="574">
        <v>149</v>
      </c>
      <c r="AM40" s="569">
        <v>0.43188405797101448</v>
      </c>
      <c r="AN40" s="570">
        <v>43.237114093959732</v>
      </c>
      <c r="AO40" s="569"/>
      <c r="AP40" s="575"/>
      <c r="AQ40" s="576"/>
      <c r="AR40" s="577"/>
      <c r="AS40" s="590"/>
      <c r="AT40" s="579"/>
      <c r="AU40" s="580"/>
    </row>
    <row r="41" spans="1:47" ht="21" hidden="1" customHeight="1">
      <c r="A41" t="s">
        <v>189</v>
      </c>
      <c r="B41" t="s">
        <v>144</v>
      </c>
      <c r="C41" s="759"/>
      <c r="D41" s="561" t="s">
        <v>52</v>
      </c>
      <c r="E41" s="561" t="s">
        <v>145</v>
      </c>
      <c r="F41" s="561" t="s">
        <v>44</v>
      </c>
      <c r="G41" s="562" t="s">
        <v>42</v>
      </c>
      <c r="H41" s="563">
        <v>7523.16</v>
      </c>
      <c r="I41" s="564">
        <v>312</v>
      </c>
      <c r="J41" s="565">
        <v>24.112692307692306</v>
      </c>
      <c r="K41" s="566">
        <v>289</v>
      </c>
      <c r="L41" s="567">
        <v>7.371794871794872E-2</v>
      </c>
      <c r="M41" s="564">
        <v>269</v>
      </c>
      <c r="N41" s="568">
        <v>6.9204152249134954E-2</v>
      </c>
      <c r="O41" s="565">
        <v>27.9671375464684</v>
      </c>
      <c r="P41" s="564">
        <v>60</v>
      </c>
      <c r="Q41" s="569">
        <v>0.20761245674740483</v>
      </c>
      <c r="R41" s="570">
        <v>125.386</v>
      </c>
      <c r="S41" s="565" t="s">
        <v>123</v>
      </c>
      <c r="T41" s="564" t="s">
        <v>123</v>
      </c>
      <c r="U41" s="565" t="s">
        <v>123</v>
      </c>
      <c r="V41" s="566" t="s">
        <v>123</v>
      </c>
      <c r="W41" s="567" t="s">
        <v>123</v>
      </c>
      <c r="X41" s="564" t="s">
        <v>123</v>
      </c>
      <c r="Y41" s="568" t="s">
        <v>123</v>
      </c>
      <c r="Z41" s="565" t="s">
        <v>123</v>
      </c>
      <c r="AA41" s="564" t="s">
        <v>123</v>
      </c>
      <c r="AB41" s="569" t="s">
        <v>123</v>
      </c>
      <c r="AC41" s="571" t="s">
        <v>123</v>
      </c>
      <c r="AD41" s="572">
        <v>7523.16</v>
      </c>
      <c r="AE41" s="573">
        <v>312</v>
      </c>
      <c r="AF41" s="565">
        <v>24.112692307692306</v>
      </c>
      <c r="AG41" s="566">
        <v>289</v>
      </c>
      <c r="AH41" s="567">
        <v>7.371794871794872E-2</v>
      </c>
      <c r="AI41" s="564">
        <v>269</v>
      </c>
      <c r="AJ41" s="568">
        <v>6.9204152249134954E-2</v>
      </c>
      <c r="AK41" s="565">
        <v>27.9671375464684</v>
      </c>
      <c r="AL41" s="574">
        <v>60</v>
      </c>
      <c r="AM41" s="569">
        <v>0.20761245674740483</v>
      </c>
      <c r="AN41" s="570">
        <v>125.386</v>
      </c>
      <c r="AO41" s="569"/>
      <c r="AP41" s="575"/>
      <c r="AQ41" s="576"/>
      <c r="AR41" s="577"/>
      <c r="AS41" s="590"/>
      <c r="AT41" s="579"/>
      <c r="AU41" s="580"/>
    </row>
    <row r="42" spans="1:47" ht="21" hidden="1" customHeight="1">
      <c r="A42" t="s">
        <v>190</v>
      </c>
      <c r="B42" t="s">
        <v>147</v>
      </c>
      <c r="C42" s="759"/>
      <c r="D42" s="561" t="s">
        <v>40</v>
      </c>
      <c r="E42" s="561" t="s">
        <v>57</v>
      </c>
      <c r="F42" s="561" t="s">
        <v>57</v>
      </c>
      <c r="G42" s="562" t="s">
        <v>42</v>
      </c>
      <c r="H42" s="563">
        <v>13308.25</v>
      </c>
      <c r="I42" s="564">
        <v>1793</v>
      </c>
      <c r="J42" s="565">
        <v>7.4223368655883997</v>
      </c>
      <c r="K42" s="566">
        <v>1024</v>
      </c>
      <c r="L42" s="567">
        <v>0.42889012827663137</v>
      </c>
      <c r="M42" s="564">
        <v>901</v>
      </c>
      <c r="N42" s="568">
        <v>0.1201171875</v>
      </c>
      <c r="O42" s="565">
        <v>14.770532741398446</v>
      </c>
      <c r="P42" s="564">
        <v>10</v>
      </c>
      <c r="Q42" s="569">
        <v>9.765625E-3</v>
      </c>
      <c r="R42" s="570">
        <v>1330.825</v>
      </c>
      <c r="S42" s="565">
        <v>13308.25</v>
      </c>
      <c r="T42" s="564">
        <v>1793</v>
      </c>
      <c r="U42" s="565">
        <v>7.4223368655883997</v>
      </c>
      <c r="V42" s="566">
        <v>1024</v>
      </c>
      <c r="W42" s="567">
        <v>0.42889012827663137</v>
      </c>
      <c r="X42" s="564">
        <v>901</v>
      </c>
      <c r="Y42" s="568">
        <v>0.1201171875</v>
      </c>
      <c r="Z42" s="565">
        <v>14.770532741398446</v>
      </c>
      <c r="AA42" s="564">
        <v>10</v>
      </c>
      <c r="AB42" s="569">
        <v>9.765625E-3</v>
      </c>
      <c r="AC42" s="571">
        <v>1330.825</v>
      </c>
      <c r="AD42" s="572" t="s">
        <v>123</v>
      </c>
      <c r="AE42" s="573" t="s">
        <v>123</v>
      </c>
      <c r="AF42" s="565" t="s">
        <v>123</v>
      </c>
      <c r="AG42" s="566" t="s">
        <v>123</v>
      </c>
      <c r="AH42" s="567" t="s">
        <v>123</v>
      </c>
      <c r="AI42" s="564" t="s">
        <v>123</v>
      </c>
      <c r="AJ42" s="568" t="s">
        <v>123</v>
      </c>
      <c r="AK42" s="565" t="s">
        <v>123</v>
      </c>
      <c r="AL42" s="574" t="s">
        <v>123</v>
      </c>
      <c r="AM42" s="569" t="s">
        <v>123</v>
      </c>
      <c r="AN42" s="570" t="s">
        <v>123</v>
      </c>
      <c r="AO42" s="569"/>
      <c r="AP42" s="575"/>
      <c r="AQ42" s="576"/>
      <c r="AR42" s="577"/>
      <c r="AS42" s="590"/>
      <c r="AT42" s="579"/>
      <c r="AU42" s="580"/>
    </row>
    <row r="43" spans="1:47" ht="21" hidden="1" customHeight="1">
      <c r="A43" t="s">
        <v>191</v>
      </c>
      <c r="B43" t="s">
        <v>149</v>
      </c>
      <c r="C43" s="759"/>
      <c r="D43" s="561" t="s">
        <v>52</v>
      </c>
      <c r="E43" s="561" t="s">
        <v>121</v>
      </c>
      <c r="F43" s="561" t="s">
        <v>44</v>
      </c>
      <c r="G43" s="562" t="s">
        <v>42</v>
      </c>
      <c r="H43" s="563">
        <v>1906.32</v>
      </c>
      <c r="I43" s="564">
        <v>11</v>
      </c>
      <c r="J43" s="565">
        <v>173.30181818181816</v>
      </c>
      <c r="K43" s="566">
        <v>13</v>
      </c>
      <c r="L43" s="567">
        <v>-0.18181818181818182</v>
      </c>
      <c r="M43" s="564">
        <v>13</v>
      </c>
      <c r="N43" s="568">
        <v>0</v>
      </c>
      <c r="O43" s="565">
        <v>146.63999999999999</v>
      </c>
      <c r="P43" s="564">
        <v>7</v>
      </c>
      <c r="Q43" s="569">
        <v>0.53846153846153844</v>
      </c>
      <c r="R43" s="570">
        <v>272.33142857142855</v>
      </c>
      <c r="S43" s="565" t="s">
        <v>123</v>
      </c>
      <c r="T43" s="564" t="s">
        <v>123</v>
      </c>
      <c r="U43" s="565" t="s">
        <v>123</v>
      </c>
      <c r="V43" s="566" t="s">
        <v>123</v>
      </c>
      <c r="W43" s="567" t="s">
        <v>123</v>
      </c>
      <c r="X43" s="564" t="s">
        <v>123</v>
      </c>
      <c r="Y43" s="568" t="s">
        <v>123</v>
      </c>
      <c r="Z43" s="565" t="s">
        <v>123</v>
      </c>
      <c r="AA43" s="564" t="s">
        <v>123</v>
      </c>
      <c r="AB43" s="569" t="s">
        <v>123</v>
      </c>
      <c r="AC43" s="571" t="s">
        <v>123</v>
      </c>
      <c r="AD43" s="572">
        <v>1906.32</v>
      </c>
      <c r="AE43" s="573">
        <v>11</v>
      </c>
      <c r="AF43" s="565">
        <v>173.30181818181816</v>
      </c>
      <c r="AG43" s="566">
        <v>13</v>
      </c>
      <c r="AH43" s="567">
        <v>-0.18181818181818182</v>
      </c>
      <c r="AI43" s="564">
        <v>13</v>
      </c>
      <c r="AJ43" s="568">
        <v>0</v>
      </c>
      <c r="AK43" s="565">
        <v>146.63999999999999</v>
      </c>
      <c r="AL43" s="574">
        <v>7</v>
      </c>
      <c r="AM43" s="569">
        <v>0.53846153846153844</v>
      </c>
      <c r="AN43" s="570">
        <v>272.33142857142855</v>
      </c>
      <c r="AO43" s="569"/>
      <c r="AP43" s="575"/>
      <c r="AQ43" s="576"/>
      <c r="AR43" s="577"/>
      <c r="AS43" s="590"/>
      <c r="AT43" s="579"/>
      <c r="AU43" s="580"/>
    </row>
    <row r="44" spans="1:47" ht="21" hidden="1" customHeight="1">
      <c r="A44" t="s">
        <v>192</v>
      </c>
      <c r="B44" t="s">
        <v>151</v>
      </c>
      <c r="C44" s="759"/>
      <c r="D44" s="561" t="s">
        <v>40</v>
      </c>
      <c r="E44" s="561" t="s">
        <v>142</v>
      </c>
      <c r="F44" s="561" t="s">
        <v>44</v>
      </c>
      <c r="G44" s="562" t="s">
        <v>60</v>
      </c>
      <c r="H44" s="563">
        <v>4785.78</v>
      </c>
      <c r="I44" s="564">
        <v>290</v>
      </c>
      <c r="J44" s="565">
        <v>16.502689655172414</v>
      </c>
      <c r="K44" s="566">
        <v>286</v>
      </c>
      <c r="L44" s="567">
        <v>1.3793103448275862E-2</v>
      </c>
      <c r="M44" s="564">
        <v>273</v>
      </c>
      <c r="N44" s="568">
        <v>4.5454545454545456E-2</v>
      </c>
      <c r="O44" s="565">
        <v>17.530329670329671</v>
      </c>
      <c r="P44" s="564">
        <v>95</v>
      </c>
      <c r="Q44" s="569">
        <v>0.33216783216783219</v>
      </c>
      <c r="R44" s="570">
        <v>50.376631578947368</v>
      </c>
      <c r="S44" s="565" t="s">
        <v>123</v>
      </c>
      <c r="T44" s="564" t="s">
        <v>123</v>
      </c>
      <c r="U44" s="565" t="s">
        <v>123</v>
      </c>
      <c r="V44" s="566" t="s">
        <v>123</v>
      </c>
      <c r="W44" s="567" t="s">
        <v>123</v>
      </c>
      <c r="X44" s="564" t="s">
        <v>123</v>
      </c>
      <c r="Y44" s="568" t="s">
        <v>123</v>
      </c>
      <c r="Z44" s="565" t="s">
        <v>123</v>
      </c>
      <c r="AA44" s="564" t="s">
        <v>123</v>
      </c>
      <c r="AB44" s="569" t="s">
        <v>123</v>
      </c>
      <c r="AC44" s="571" t="s">
        <v>123</v>
      </c>
      <c r="AD44" s="572">
        <v>4785.78</v>
      </c>
      <c r="AE44" s="573">
        <v>290</v>
      </c>
      <c r="AF44" s="565">
        <v>16.502689655172414</v>
      </c>
      <c r="AG44" s="566">
        <v>286</v>
      </c>
      <c r="AH44" s="567">
        <v>1.3793103448275862E-2</v>
      </c>
      <c r="AI44" s="564">
        <v>273</v>
      </c>
      <c r="AJ44" s="568">
        <v>4.5454545454545456E-2</v>
      </c>
      <c r="AK44" s="565">
        <v>17.530329670329671</v>
      </c>
      <c r="AL44" s="574">
        <v>95</v>
      </c>
      <c r="AM44" s="569">
        <v>0.33216783216783219</v>
      </c>
      <c r="AN44" s="570">
        <v>50.376631578947368</v>
      </c>
      <c r="AO44" s="569"/>
      <c r="AP44" s="575"/>
      <c r="AQ44" s="576"/>
      <c r="AR44" s="577"/>
      <c r="AS44" s="590"/>
      <c r="AT44" s="579"/>
      <c r="AU44" s="580"/>
    </row>
    <row r="45" spans="1:47" ht="21" hidden="1" customHeight="1">
      <c r="A45" t="s">
        <v>193</v>
      </c>
      <c r="B45" t="s">
        <v>153</v>
      </c>
      <c r="C45" s="759"/>
      <c r="D45" s="561" t="s">
        <v>52</v>
      </c>
      <c r="E45" s="561" t="s">
        <v>145</v>
      </c>
      <c r="F45" s="561" t="s">
        <v>44</v>
      </c>
      <c r="G45" s="562" t="s">
        <v>60</v>
      </c>
      <c r="H45" s="563">
        <v>10942.02</v>
      </c>
      <c r="I45" s="564">
        <v>399</v>
      </c>
      <c r="J45" s="565">
        <v>27.423609022556391</v>
      </c>
      <c r="K45" s="566">
        <v>330</v>
      </c>
      <c r="L45" s="567">
        <v>0.17293233082706766</v>
      </c>
      <c r="M45" s="564">
        <v>323</v>
      </c>
      <c r="N45" s="568">
        <v>2.1212121212121213E-2</v>
      </c>
      <c r="O45" s="565">
        <v>33.876222910216718</v>
      </c>
      <c r="P45" s="564">
        <v>109</v>
      </c>
      <c r="Q45" s="569">
        <v>0.33030303030303032</v>
      </c>
      <c r="R45" s="570">
        <v>100.38550458715596</v>
      </c>
      <c r="S45" s="565" t="s">
        <v>123</v>
      </c>
      <c r="T45" s="564" t="s">
        <v>123</v>
      </c>
      <c r="U45" s="565" t="s">
        <v>123</v>
      </c>
      <c r="V45" s="566" t="s">
        <v>123</v>
      </c>
      <c r="W45" s="567" t="s">
        <v>123</v>
      </c>
      <c r="X45" s="564" t="s">
        <v>123</v>
      </c>
      <c r="Y45" s="568" t="s">
        <v>123</v>
      </c>
      <c r="Z45" s="565" t="s">
        <v>123</v>
      </c>
      <c r="AA45" s="564" t="s">
        <v>123</v>
      </c>
      <c r="AB45" s="569" t="s">
        <v>123</v>
      </c>
      <c r="AC45" s="571" t="s">
        <v>123</v>
      </c>
      <c r="AD45" s="572">
        <v>10942.02</v>
      </c>
      <c r="AE45" s="573">
        <v>399</v>
      </c>
      <c r="AF45" s="565">
        <v>27.423609022556391</v>
      </c>
      <c r="AG45" s="566">
        <v>330</v>
      </c>
      <c r="AH45" s="567">
        <v>0.17293233082706766</v>
      </c>
      <c r="AI45" s="564">
        <v>323</v>
      </c>
      <c r="AJ45" s="568">
        <v>2.1212121212121213E-2</v>
      </c>
      <c r="AK45" s="565">
        <v>33.876222910216718</v>
      </c>
      <c r="AL45" s="574">
        <v>109</v>
      </c>
      <c r="AM45" s="569">
        <v>0.33030303030303032</v>
      </c>
      <c r="AN45" s="570">
        <v>100.38550458715596</v>
      </c>
      <c r="AO45" s="569"/>
      <c r="AP45" s="575"/>
      <c r="AQ45" s="576"/>
      <c r="AR45" s="577"/>
      <c r="AS45" s="590"/>
      <c r="AT45" s="579"/>
      <c r="AU45" s="580"/>
    </row>
    <row r="46" spans="1:47" ht="21" hidden="1" customHeight="1">
      <c r="A46" t="s">
        <v>194</v>
      </c>
      <c r="B46" t="s">
        <v>155</v>
      </c>
      <c r="C46" s="760"/>
      <c r="D46" s="561" t="s">
        <v>40</v>
      </c>
      <c r="E46" s="561" t="s">
        <v>57</v>
      </c>
      <c r="F46" s="561" t="s">
        <v>57</v>
      </c>
      <c r="G46" s="562" t="s">
        <v>60</v>
      </c>
      <c r="H46" s="563">
        <v>40187.919999999998</v>
      </c>
      <c r="I46" s="581">
        <v>4418</v>
      </c>
      <c r="J46" s="582">
        <v>9.0964056133997282</v>
      </c>
      <c r="K46" s="566">
        <v>2293</v>
      </c>
      <c r="L46" s="567">
        <v>0.48098687188773198</v>
      </c>
      <c r="M46" s="564">
        <v>2118</v>
      </c>
      <c r="N46" s="568">
        <v>7.631923244657654E-2</v>
      </c>
      <c r="O46" s="586">
        <v>18.974466477809255</v>
      </c>
      <c r="P46" s="564">
        <v>390</v>
      </c>
      <c r="Q46" s="569">
        <v>0.17008286088094199</v>
      </c>
      <c r="R46" s="570">
        <v>103.04594871794872</v>
      </c>
      <c r="S46" s="565">
        <v>40187.919999999998</v>
      </c>
      <c r="T46" s="564">
        <v>4418</v>
      </c>
      <c r="U46" s="565">
        <v>9.0964056133997282</v>
      </c>
      <c r="V46" s="566">
        <v>2293</v>
      </c>
      <c r="W46" s="567">
        <v>0.48098687188773198</v>
      </c>
      <c r="X46" s="564">
        <v>2118</v>
      </c>
      <c r="Y46" s="568">
        <v>7.631923244657654E-2</v>
      </c>
      <c r="Z46" s="586">
        <v>18.974466477809255</v>
      </c>
      <c r="AA46" s="564">
        <v>390</v>
      </c>
      <c r="AB46" s="569">
        <v>0.17008286088094199</v>
      </c>
      <c r="AC46" s="571">
        <v>103.04594871794872</v>
      </c>
      <c r="AD46" s="572" t="s">
        <v>123</v>
      </c>
      <c r="AE46" s="573" t="s">
        <v>123</v>
      </c>
      <c r="AF46" s="565" t="s">
        <v>123</v>
      </c>
      <c r="AG46" s="566" t="s">
        <v>123</v>
      </c>
      <c r="AH46" s="567" t="s">
        <v>123</v>
      </c>
      <c r="AI46" s="564" t="s">
        <v>123</v>
      </c>
      <c r="AJ46" s="568" t="s">
        <v>123</v>
      </c>
      <c r="AK46" s="586" t="s">
        <v>123</v>
      </c>
      <c r="AL46" s="574" t="s">
        <v>123</v>
      </c>
      <c r="AM46" s="569" t="s">
        <v>123</v>
      </c>
      <c r="AN46" s="570" t="s">
        <v>123</v>
      </c>
      <c r="AO46" s="569"/>
      <c r="AP46" s="587"/>
      <c r="AQ46" s="576"/>
      <c r="AR46" s="588"/>
      <c r="AS46" s="590"/>
      <c r="AT46" s="579"/>
      <c r="AU46" s="580"/>
    </row>
    <row r="47" spans="1:47" ht="49.95" customHeight="1">
      <c r="C47" s="758" t="s">
        <v>195</v>
      </c>
      <c r="D47" s="541"/>
      <c r="E47" s="541"/>
      <c r="F47" s="541"/>
      <c r="G47" s="542" t="s">
        <v>139</v>
      </c>
      <c r="H47" s="543">
        <v>76634.200000000012</v>
      </c>
      <c r="I47" s="544">
        <v>6963</v>
      </c>
      <c r="J47" s="545">
        <v>11.005916989803248</v>
      </c>
      <c r="K47" s="546">
        <v>4024</v>
      </c>
      <c r="L47" s="547">
        <v>0.42208818038201923</v>
      </c>
      <c r="M47" s="544">
        <v>3694</v>
      </c>
      <c r="N47" s="548">
        <v>8.2007952286282312E-2</v>
      </c>
      <c r="O47" s="549">
        <v>20.745587439090421</v>
      </c>
      <c r="P47" s="544">
        <v>774</v>
      </c>
      <c r="Q47" s="548">
        <v>0.19234592445328033</v>
      </c>
      <c r="R47" s="550">
        <v>99.010594315245498</v>
      </c>
      <c r="S47" s="545">
        <v>47172.55</v>
      </c>
      <c r="T47" s="544">
        <v>5696</v>
      </c>
      <c r="U47" s="545">
        <v>8.2816976825842694</v>
      </c>
      <c r="V47" s="546">
        <v>2813</v>
      </c>
      <c r="W47" s="547">
        <v>0.5061446629213483</v>
      </c>
      <c r="X47" s="544">
        <v>2535</v>
      </c>
      <c r="Y47" s="548">
        <v>9.8826875222182725E-2</v>
      </c>
      <c r="Z47" s="549">
        <v>18.608500986193295</v>
      </c>
      <c r="AA47" s="544">
        <v>358</v>
      </c>
      <c r="AB47" s="548">
        <v>0.12726626377532882</v>
      </c>
      <c r="AC47" s="551">
        <v>131.7668994413408</v>
      </c>
      <c r="AD47" s="552">
        <v>29461.65</v>
      </c>
      <c r="AE47" s="553">
        <v>1267</v>
      </c>
      <c r="AF47" s="545">
        <v>23.253078137332281</v>
      </c>
      <c r="AG47" s="546">
        <v>1211</v>
      </c>
      <c r="AH47" s="547">
        <v>4.4198895027624308E-2</v>
      </c>
      <c r="AI47" s="553">
        <v>1159</v>
      </c>
      <c r="AJ47" s="548">
        <v>4.2939719240297276E-2</v>
      </c>
      <c r="AK47" s="549">
        <v>25.419887834339949</v>
      </c>
      <c r="AL47" s="554">
        <v>416</v>
      </c>
      <c r="AM47" s="548">
        <v>0.34351775392237821</v>
      </c>
      <c r="AN47" s="550">
        <v>70.821274038461539</v>
      </c>
      <c r="AO47" s="548">
        <v>0.88039999999999996</v>
      </c>
      <c r="AP47" s="555">
        <v>0.86990000000000001</v>
      </c>
      <c r="AQ47" s="556">
        <v>0.87319999999999998</v>
      </c>
      <c r="AR47" s="557">
        <v>0.8831</v>
      </c>
      <c r="AS47" s="558">
        <v>1.83</v>
      </c>
      <c r="AT47" s="583"/>
      <c r="AU47" s="580"/>
    </row>
    <row r="48" spans="1:47" ht="21" hidden="1" customHeight="1">
      <c r="A48" t="s">
        <v>196</v>
      </c>
      <c r="B48" t="s">
        <v>141</v>
      </c>
      <c r="C48" s="759"/>
      <c r="D48" s="561" t="s">
        <v>40</v>
      </c>
      <c r="E48" s="561" t="s">
        <v>142</v>
      </c>
      <c r="F48" s="561" t="s">
        <v>44</v>
      </c>
      <c r="G48" s="562" t="s">
        <v>42</v>
      </c>
      <c r="H48" s="563">
        <v>6951.33</v>
      </c>
      <c r="I48" s="564">
        <v>330</v>
      </c>
      <c r="J48" s="565">
        <v>21.064636363636364</v>
      </c>
      <c r="K48" s="566">
        <v>321</v>
      </c>
      <c r="L48" s="567">
        <v>2.7272727272727271E-2</v>
      </c>
      <c r="M48" s="564">
        <v>305</v>
      </c>
      <c r="N48" s="568">
        <v>4.9844236760124609E-2</v>
      </c>
      <c r="O48" s="565">
        <v>22.791245901639343</v>
      </c>
      <c r="P48" s="564">
        <v>136</v>
      </c>
      <c r="Q48" s="569">
        <v>0.42367601246105918</v>
      </c>
      <c r="R48" s="570">
        <v>51.112720588235291</v>
      </c>
      <c r="S48" s="565" t="s">
        <v>123</v>
      </c>
      <c r="T48" s="564" t="s">
        <v>123</v>
      </c>
      <c r="U48" s="565" t="s">
        <v>123</v>
      </c>
      <c r="V48" s="566" t="s">
        <v>123</v>
      </c>
      <c r="W48" s="567" t="s">
        <v>123</v>
      </c>
      <c r="X48" s="564" t="s">
        <v>123</v>
      </c>
      <c r="Y48" s="568" t="s">
        <v>123</v>
      </c>
      <c r="Z48" s="565" t="s">
        <v>123</v>
      </c>
      <c r="AA48" s="564" t="s">
        <v>123</v>
      </c>
      <c r="AB48" s="569" t="s">
        <v>123</v>
      </c>
      <c r="AC48" s="571" t="s">
        <v>123</v>
      </c>
      <c r="AD48" s="572">
        <v>6951.33</v>
      </c>
      <c r="AE48" s="573">
        <v>330</v>
      </c>
      <c r="AF48" s="565">
        <v>21.064636363636364</v>
      </c>
      <c r="AG48" s="566">
        <v>321</v>
      </c>
      <c r="AH48" s="567">
        <v>2.7272727272727271E-2</v>
      </c>
      <c r="AI48" s="564">
        <v>305</v>
      </c>
      <c r="AJ48" s="568">
        <v>4.9844236760124609E-2</v>
      </c>
      <c r="AK48" s="565">
        <v>22.791245901639343</v>
      </c>
      <c r="AL48" s="574">
        <v>136</v>
      </c>
      <c r="AM48" s="569">
        <v>0.42367601246105918</v>
      </c>
      <c r="AN48" s="570">
        <v>51.112720588235291</v>
      </c>
      <c r="AO48" s="569"/>
      <c r="AP48" s="575"/>
      <c r="AQ48" s="576"/>
      <c r="AR48" s="577"/>
      <c r="AS48" s="558">
        <v>1.83</v>
      </c>
      <c r="AT48" s="579"/>
      <c r="AU48" s="580"/>
    </row>
    <row r="49" spans="1:47" ht="21" hidden="1" customHeight="1">
      <c r="A49" t="s">
        <v>197</v>
      </c>
      <c r="B49" t="s">
        <v>144</v>
      </c>
      <c r="C49" s="759"/>
      <c r="D49" s="561" t="s">
        <v>52</v>
      </c>
      <c r="E49" s="561" t="s">
        <v>145</v>
      </c>
      <c r="F49" s="561" t="s">
        <v>44</v>
      </c>
      <c r="G49" s="562" t="s">
        <v>42</v>
      </c>
      <c r="H49" s="563">
        <v>7117.14</v>
      </c>
      <c r="I49" s="564">
        <v>275</v>
      </c>
      <c r="J49" s="565">
        <v>25.880509090909094</v>
      </c>
      <c r="K49" s="566">
        <v>229</v>
      </c>
      <c r="L49" s="567">
        <v>0.16727272727272727</v>
      </c>
      <c r="M49" s="564">
        <v>213</v>
      </c>
      <c r="N49" s="568">
        <v>6.9868995633187769E-2</v>
      </c>
      <c r="O49" s="565">
        <v>33.413802816901409</v>
      </c>
      <c r="P49" s="564">
        <v>71</v>
      </c>
      <c r="Q49" s="569">
        <v>0.31004366812227074</v>
      </c>
      <c r="R49" s="570">
        <v>100.24140845070423</v>
      </c>
      <c r="S49" s="565" t="s">
        <v>123</v>
      </c>
      <c r="T49" s="564" t="s">
        <v>123</v>
      </c>
      <c r="U49" s="565" t="s">
        <v>123</v>
      </c>
      <c r="V49" s="566" t="s">
        <v>123</v>
      </c>
      <c r="W49" s="567" t="s">
        <v>123</v>
      </c>
      <c r="X49" s="564" t="s">
        <v>123</v>
      </c>
      <c r="Y49" s="568" t="s">
        <v>123</v>
      </c>
      <c r="Z49" s="565" t="s">
        <v>123</v>
      </c>
      <c r="AA49" s="564" t="s">
        <v>123</v>
      </c>
      <c r="AB49" s="569" t="s">
        <v>123</v>
      </c>
      <c r="AC49" s="571" t="s">
        <v>123</v>
      </c>
      <c r="AD49" s="572">
        <v>7117.14</v>
      </c>
      <c r="AE49" s="573">
        <v>275</v>
      </c>
      <c r="AF49" s="565">
        <v>25.880509090909094</v>
      </c>
      <c r="AG49" s="566">
        <v>229</v>
      </c>
      <c r="AH49" s="567">
        <v>0.16727272727272727</v>
      </c>
      <c r="AI49" s="564">
        <v>213</v>
      </c>
      <c r="AJ49" s="568">
        <v>6.9868995633187769E-2</v>
      </c>
      <c r="AK49" s="565">
        <v>33.413802816901409</v>
      </c>
      <c r="AL49" s="574">
        <v>71</v>
      </c>
      <c r="AM49" s="569">
        <v>0.31004366812227074</v>
      </c>
      <c r="AN49" s="570">
        <v>100.24140845070423</v>
      </c>
      <c r="AO49" s="569"/>
      <c r="AP49" s="575"/>
      <c r="AQ49" s="576"/>
      <c r="AR49" s="577"/>
      <c r="AS49" s="558">
        <v>1.83</v>
      </c>
      <c r="AT49" s="579"/>
      <c r="AU49" s="580"/>
    </row>
    <row r="50" spans="1:47" ht="21" hidden="1" customHeight="1">
      <c r="A50" t="s">
        <v>198</v>
      </c>
      <c r="B50" t="s">
        <v>147</v>
      </c>
      <c r="C50" s="759"/>
      <c r="D50" s="561" t="s">
        <v>40</v>
      </c>
      <c r="E50" s="561" t="s">
        <v>57</v>
      </c>
      <c r="F50" s="561" t="s">
        <v>57</v>
      </c>
      <c r="G50" s="562" t="s">
        <v>42</v>
      </c>
      <c r="H50" s="563">
        <v>13209.31</v>
      </c>
      <c r="I50" s="564">
        <v>1825</v>
      </c>
      <c r="J50" s="565">
        <v>7.2379780821917805</v>
      </c>
      <c r="K50" s="566">
        <v>781</v>
      </c>
      <c r="L50" s="567">
        <v>0.57205479452054797</v>
      </c>
      <c r="M50" s="564">
        <v>675</v>
      </c>
      <c r="N50" s="568">
        <v>0.13572343149807939</v>
      </c>
      <c r="O50" s="565">
        <v>19.569348148148148</v>
      </c>
      <c r="P50" s="564">
        <v>27</v>
      </c>
      <c r="Q50" s="569">
        <v>3.4571062740076826E-2</v>
      </c>
      <c r="R50" s="570">
        <v>489.23370370370367</v>
      </c>
      <c r="S50" s="565">
        <v>13209.31</v>
      </c>
      <c r="T50" s="564">
        <v>1825</v>
      </c>
      <c r="U50" s="565">
        <v>7.2379780821917805</v>
      </c>
      <c r="V50" s="566">
        <v>781</v>
      </c>
      <c r="W50" s="567">
        <v>0.57205479452054797</v>
      </c>
      <c r="X50" s="564">
        <v>675</v>
      </c>
      <c r="Y50" s="568">
        <v>0.13572343149807939</v>
      </c>
      <c r="Z50" s="565">
        <v>19.569348148148148</v>
      </c>
      <c r="AA50" s="564">
        <v>27</v>
      </c>
      <c r="AB50" s="569">
        <v>3.4571062740076826E-2</v>
      </c>
      <c r="AC50" s="571">
        <v>489.23370370370367</v>
      </c>
      <c r="AD50" s="572" t="s">
        <v>123</v>
      </c>
      <c r="AE50" s="573" t="s">
        <v>123</v>
      </c>
      <c r="AF50" s="565" t="s">
        <v>123</v>
      </c>
      <c r="AG50" s="566" t="s">
        <v>123</v>
      </c>
      <c r="AH50" s="567" t="s">
        <v>123</v>
      </c>
      <c r="AI50" s="564" t="s">
        <v>123</v>
      </c>
      <c r="AJ50" s="568" t="s">
        <v>123</v>
      </c>
      <c r="AK50" s="565" t="s">
        <v>123</v>
      </c>
      <c r="AL50" s="574" t="s">
        <v>123</v>
      </c>
      <c r="AM50" s="569" t="s">
        <v>123</v>
      </c>
      <c r="AN50" s="570" t="s">
        <v>123</v>
      </c>
      <c r="AO50" s="569"/>
      <c r="AP50" s="575"/>
      <c r="AQ50" s="576"/>
      <c r="AR50" s="577"/>
      <c r="AS50" s="558">
        <v>1.83</v>
      </c>
      <c r="AT50" s="579"/>
      <c r="AU50" s="580"/>
    </row>
    <row r="51" spans="1:47" ht="21" hidden="1" customHeight="1">
      <c r="A51" t="s">
        <v>199</v>
      </c>
      <c r="B51" t="s">
        <v>149</v>
      </c>
      <c r="C51" s="759"/>
      <c r="D51" s="561" t="s">
        <v>52</v>
      </c>
      <c r="E51" s="561" t="s">
        <v>121</v>
      </c>
      <c r="F51" s="561" t="s">
        <v>44</v>
      </c>
      <c r="G51" s="562" t="s">
        <v>42</v>
      </c>
      <c r="H51" s="563">
        <v>1505.87</v>
      </c>
      <c r="I51" s="564">
        <v>10</v>
      </c>
      <c r="J51" s="565">
        <v>150.58699999999999</v>
      </c>
      <c r="K51" s="566">
        <v>8</v>
      </c>
      <c r="L51" s="567">
        <v>0.2</v>
      </c>
      <c r="M51" s="564">
        <v>7</v>
      </c>
      <c r="N51" s="568">
        <v>0.125</v>
      </c>
      <c r="O51" s="565">
        <v>215.12428571428569</v>
      </c>
      <c r="P51" s="564">
        <v>3</v>
      </c>
      <c r="Q51" s="569">
        <v>0.375</v>
      </c>
      <c r="R51" s="570">
        <v>501.95666666666665</v>
      </c>
      <c r="S51" s="565" t="s">
        <v>123</v>
      </c>
      <c r="T51" s="564" t="s">
        <v>123</v>
      </c>
      <c r="U51" s="565" t="s">
        <v>123</v>
      </c>
      <c r="V51" s="566" t="s">
        <v>123</v>
      </c>
      <c r="W51" s="567" t="s">
        <v>123</v>
      </c>
      <c r="X51" s="564" t="s">
        <v>123</v>
      </c>
      <c r="Y51" s="568" t="s">
        <v>123</v>
      </c>
      <c r="Z51" s="565" t="s">
        <v>123</v>
      </c>
      <c r="AA51" s="564" t="s">
        <v>123</v>
      </c>
      <c r="AB51" s="569" t="s">
        <v>123</v>
      </c>
      <c r="AC51" s="571" t="s">
        <v>123</v>
      </c>
      <c r="AD51" s="572">
        <v>1505.87</v>
      </c>
      <c r="AE51" s="573">
        <v>10</v>
      </c>
      <c r="AF51" s="565">
        <v>150.58699999999999</v>
      </c>
      <c r="AG51" s="566">
        <v>8</v>
      </c>
      <c r="AH51" s="567">
        <v>0.2</v>
      </c>
      <c r="AI51" s="564">
        <v>7</v>
      </c>
      <c r="AJ51" s="568">
        <v>0.125</v>
      </c>
      <c r="AK51" s="565">
        <v>215.12428571428569</v>
      </c>
      <c r="AL51" s="574">
        <v>3</v>
      </c>
      <c r="AM51" s="569">
        <v>0.375</v>
      </c>
      <c r="AN51" s="570">
        <v>501.95666666666665</v>
      </c>
      <c r="AO51" s="569"/>
      <c r="AP51" s="575"/>
      <c r="AQ51" s="576"/>
      <c r="AR51" s="577"/>
      <c r="AS51" s="558">
        <v>1.83</v>
      </c>
      <c r="AT51" s="579"/>
      <c r="AU51" s="580"/>
    </row>
    <row r="52" spans="1:47" ht="21" hidden="1" customHeight="1">
      <c r="A52" t="s">
        <v>200</v>
      </c>
      <c r="B52" t="s">
        <v>151</v>
      </c>
      <c r="C52" s="759"/>
      <c r="D52" s="561" t="s">
        <v>40</v>
      </c>
      <c r="E52" s="561" t="s">
        <v>142</v>
      </c>
      <c r="F52" s="561" t="s">
        <v>44</v>
      </c>
      <c r="G52" s="562" t="s">
        <v>60</v>
      </c>
      <c r="H52" s="563">
        <v>3365.7</v>
      </c>
      <c r="I52" s="564">
        <v>283</v>
      </c>
      <c r="J52" s="565">
        <v>11.892932862190811</v>
      </c>
      <c r="K52" s="566">
        <v>275</v>
      </c>
      <c r="L52" s="567">
        <v>2.8268551236749116E-2</v>
      </c>
      <c r="M52" s="564">
        <v>268</v>
      </c>
      <c r="N52" s="568">
        <v>2.5454545454545455E-2</v>
      </c>
      <c r="O52" s="565">
        <v>12.558582089552239</v>
      </c>
      <c r="P52" s="564">
        <v>107</v>
      </c>
      <c r="Q52" s="569">
        <v>0.3890909090909091</v>
      </c>
      <c r="R52" s="570">
        <v>31.455140186915887</v>
      </c>
      <c r="S52" s="565" t="s">
        <v>123</v>
      </c>
      <c r="T52" s="564" t="s">
        <v>123</v>
      </c>
      <c r="U52" s="565" t="s">
        <v>123</v>
      </c>
      <c r="V52" s="566" t="s">
        <v>123</v>
      </c>
      <c r="W52" s="567" t="s">
        <v>123</v>
      </c>
      <c r="X52" s="564" t="s">
        <v>123</v>
      </c>
      <c r="Y52" s="568" t="s">
        <v>123</v>
      </c>
      <c r="Z52" s="565" t="s">
        <v>123</v>
      </c>
      <c r="AA52" s="564" t="s">
        <v>123</v>
      </c>
      <c r="AB52" s="569" t="s">
        <v>123</v>
      </c>
      <c r="AC52" s="571" t="s">
        <v>123</v>
      </c>
      <c r="AD52" s="572">
        <v>3365.7</v>
      </c>
      <c r="AE52" s="573">
        <v>283</v>
      </c>
      <c r="AF52" s="565">
        <v>11.892932862190811</v>
      </c>
      <c r="AG52" s="566">
        <v>275</v>
      </c>
      <c r="AH52" s="567">
        <v>2.8268551236749116E-2</v>
      </c>
      <c r="AI52" s="564">
        <v>268</v>
      </c>
      <c r="AJ52" s="568">
        <v>2.5454545454545455E-2</v>
      </c>
      <c r="AK52" s="565">
        <v>12.558582089552239</v>
      </c>
      <c r="AL52" s="574">
        <v>107</v>
      </c>
      <c r="AM52" s="569">
        <v>0.3890909090909091</v>
      </c>
      <c r="AN52" s="570">
        <v>31.455140186915887</v>
      </c>
      <c r="AO52" s="569"/>
      <c r="AP52" s="575"/>
      <c r="AQ52" s="576"/>
      <c r="AR52" s="577"/>
      <c r="AS52" s="558">
        <v>1.83</v>
      </c>
      <c r="AT52" s="579"/>
      <c r="AU52" s="580"/>
    </row>
    <row r="53" spans="1:47" ht="21" hidden="1" customHeight="1">
      <c r="A53" t="s">
        <v>201</v>
      </c>
      <c r="B53" t="s">
        <v>153</v>
      </c>
      <c r="C53" s="759"/>
      <c r="D53" s="561" t="s">
        <v>52</v>
      </c>
      <c r="E53" s="561" t="s">
        <v>145</v>
      </c>
      <c r="F53" s="561" t="s">
        <v>44</v>
      </c>
      <c r="G53" s="562" t="s">
        <v>60</v>
      </c>
      <c r="H53" s="563">
        <v>10521.61</v>
      </c>
      <c r="I53" s="564">
        <v>369</v>
      </c>
      <c r="J53" s="565">
        <v>28.513848238482385</v>
      </c>
      <c r="K53" s="566">
        <v>378</v>
      </c>
      <c r="L53" s="567">
        <v>-2.4390243902439025E-2</v>
      </c>
      <c r="M53" s="564">
        <v>366</v>
      </c>
      <c r="N53" s="568">
        <v>3.1746031746031744E-2</v>
      </c>
      <c r="O53" s="565">
        <v>28.74756830601093</v>
      </c>
      <c r="P53" s="564">
        <v>99</v>
      </c>
      <c r="Q53" s="569">
        <v>0.26190476190476192</v>
      </c>
      <c r="R53" s="570">
        <v>106.2788888888889</v>
      </c>
      <c r="S53" s="565" t="s">
        <v>123</v>
      </c>
      <c r="T53" s="564" t="s">
        <v>123</v>
      </c>
      <c r="U53" s="565" t="s">
        <v>123</v>
      </c>
      <c r="V53" s="566" t="s">
        <v>123</v>
      </c>
      <c r="W53" s="567" t="s">
        <v>123</v>
      </c>
      <c r="X53" s="564" t="s">
        <v>123</v>
      </c>
      <c r="Y53" s="568" t="s">
        <v>123</v>
      </c>
      <c r="Z53" s="565" t="s">
        <v>123</v>
      </c>
      <c r="AA53" s="564" t="s">
        <v>123</v>
      </c>
      <c r="AB53" s="569" t="s">
        <v>123</v>
      </c>
      <c r="AC53" s="571" t="s">
        <v>123</v>
      </c>
      <c r="AD53" s="572">
        <v>10521.61</v>
      </c>
      <c r="AE53" s="573">
        <v>369</v>
      </c>
      <c r="AF53" s="565">
        <v>28.513848238482385</v>
      </c>
      <c r="AG53" s="566">
        <v>378</v>
      </c>
      <c r="AH53" s="567">
        <v>-2.4390243902439025E-2</v>
      </c>
      <c r="AI53" s="564">
        <v>366</v>
      </c>
      <c r="AJ53" s="568">
        <v>3.1746031746031744E-2</v>
      </c>
      <c r="AK53" s="565">
        <v>28.74756830601093</v>
      </c>
      <c r="AL53" s="574">
        <v>99</v>
      </c>
      <c r="AM53" s="569">
        <v>0.26190476190476192</v>
      </c>
      <c r="AN53" s="570">
        <v>106.2788888888889</v>
      </c>
      <c r="AO53" s="569"/>
      <c r="AP53" s="575"/>
      <c r="AQ53" s="576"/>
      <c r="AR53" s="577"/>
      <c r="AS53" s="558">
        <v>1.83</v>
      </c>
      <c r="AT53" s="579"/>
      <c r="AU53" s="580"/>
    </row>
    <row r="54" spans="1:47" ht="21" hidden="1" customHeight="1">
      <c r="A54" t="s">
        <v>202</v>
      </c>
      <c r="B54" t="s">
        <v>155</v>
      </c>
      <c r="C54" s="760"/>
      <c r="D54" s="561" t="s">
        <v>40</v>
      </c>
      <c r="E54" s="561" t="s">
        <v>57</v>
      </c>
      <c r="F54" s="561" t="s">
        <v>57</v>
      </c>
      <c r="G54" s="562" t="s">
        <v>60</v>
      </c>
      <c r="H54" s="563">
        <v>33963.240000000005</v>
      </c>
      <c r="I54" s="581">
        <v>3871</v>
      </c>
      <c r="J54" s="582">
        <v>8.7737638853009567</v>
      </c>
      <c r="K54" s="566">
        <v>2032</v>
      </c>
      <c r="L54" s="567">
        <v>0.4750710410746577</v>
      </c>
      <c r="M54" s="564">
        <v>1860</v>
      </c>
      <c r="N54" s="568">
        <v>8.4645669291338585E-2</v>
      </c>
      <c r="O54" s="586">
        <v>18.259806451612906</v>
      </c>
      <c r="P54" s="564">
        <v>331</v>
      </c>
      <c r="Q54" s="569">
        <v>0.16289370078740156</v>
      </c>
      <c r="R54" s="570">
        <v>102.60797583081573</v>
      </c>
      <c r="S54" s="565">
        <v>33963.240000000005</v>
      </c>
      <c r="T54" s="564">
        <v>3871</v>
      </c>
      <c r="U54" s="565">
        <v>8.7737638853009567</v>
      </c>
      <c r="V54" s="566">
        <v>2032</v>
      </c>
      <c r="W54" s="567">
        <v>0.4750710410746577</v>
      </c>
      <c r="X54" s="564">
        <v>1860</v>
      </c>
      <c r="Y54" s="568">
        <v>8.4645669291338585E-2</v>
      </c>
      <c r="Z54" s="586">
        <v>18.259806451612906</v>
      </c>
      <c r="AA54" s="564">
        <v>331</v>
      </c>
      <c r="AB54" s="569">
        <v>0.16289370078740156</v>
      </c>
      <c r="AC54" s="571">
        <v>102.60797583081573</v>
      </c>
      <c r="AD54" s="572" t="s">
        <v>123</v>
      </c>
      <c r="AE54" s="573" t="s">
        <v>123</v>
      </c>
      <c r="AF54" s="565" t="s">
        <v>123</v>
      </c>
      <c r="AG54" s="566" t="s">
        <v>123</v>
      </c>
      <c r="AH54" s="567" t="s">
        <v>123</v>
      </c>
      <c r="AI54" s="564" t="s">
        <v>123</v>
      </c>
      <c r="AJ54" s="568" t="s">
        <v>123</v>
      </c>
      <c r="AK54" s="586" t="s">
        <v>123</v>
      </c>
      <c r="AL54" s="574" t="s">
        <v>123</v>
      </c>
      <c r="AM54" s="569" t="s">
        <v>123</v>
      </c>
      <c r="AN54" s="570" t="s">
        <v>123</v>
      </c>
      <c r="AO54" s="569"/>
      <c r="AP54" s="587"/>
      <c r="AQ54" s="576"/>
      <c r="AR54" s="588"/>
      <c r="AS54" s="558">
        <v>1.83</v>
      </c>
      <c r="AT54" s="579"/>
      <c r="AU54" s="580"/>
    </row>
    <row r="55" spans="1:47" ht="49.95" customHeight="1">
      <c r="C55" s="758" t="s">
        <v>203</v>
      </c>
      <c r="D55" s="541"/>
      <c r="E55" s="541"/>
      <c r="F55" s="541"/>
      <c r="G55" s="542" t="s">
        <v>139</v>
      </c>
      <c r="H55" s="543">
        <v>74243.95</v>
      </c>
      <c r="I55" s="544">
        <v>6645</v>
      </c>
      <c r="J55" s="545">
        <v>11.172904439428141</v>
      </c>
      <c r="K55" s="546">
        <v>3761</v>
      </c>
      <c r="L55" s="547">
        <v>0.4340105342362679</v>
      </c>
      <c r="M55" s="544">
        <v>2903</v>
      </c>
      <c r="N55" s="548">
        <v>0.228130816272268</v>
      </c>
      <c r="O55" s="549">
        <v>25.574905270409921</v>
      </c>
      <c r="P55" s="544">
        <v>620</v>
      </c>
      <c r="Q55" s="548">
        <v>0.16484977399627759</v>
      </c>
      <c r="R55" s="550">
        <v>119.7483064516129</v>
      </c>
      <c r="S55" s="545">
        <v>43575.03</v>
      </c>
      <c r="T55" s="544">
        <v>5348</v>
      </c>
      <c r="U55" s="545">
        <v>8.1479113687359757</v>
      </c>
      <c r="V55" s="546">
        <v>2587</v>
      </c>
      <c r="W55" s="547">
        <v>0.51626776364996263</v>
      </c>
      <c r="X55" s="544">
        <v>1917</v>
      </c>
      <c r="Y55" s="548">
        <v>0.258987243911867</v>
      </c>
      <c r="Z55" s="549">
        <v>22.730845070422536</v>
      </c>
      <c r="AA55" s="544">
        <v>293</v>
      </c>
      <c r="AB55" s="548">
        <v>0.11325860069578662</v>
      </c>
      <c r="AC55" s="551">
        <v>148.72023890784982</v>
      </c>
      <c r="AD55" s="552">
        <v>30668.92</v>
      </c>
      <c r="AE55" s="553">
        <v>1297</v>
      </c>
      <c r="AF55" s="545">
        <v>23.64604471858134</v>
      </c>
      <c r="AG55" s="546">
        <v>1174</v>
      </c>
      <c r="AH55" s="547">
        <v>9.4834232845026983E-2</v>
      </c>
      <c r="AI55" s="553">
        <v>986</v>
      </c>
      <c r="AJ55" s="548">
        <v>0.16013628620102216</v>
      </c>
      <c r="AK55" s="549">
        <v>31.104381338742392</v>
      </c>
      <c r="AL55" s="554">
        <v>327</v>
      </c>
      <c r="AM55" s="548">
        <v>0.27853492333901192</v>
      </c>
      <c r="AN55" s="550">
        <v>93.788746177370029</v>
      </c>
      <c r="AO55" s="548">
        <v>0.87739999999999996</v>
      </c>
      <c r="AP55" s="555">
        <v>0.8034</v>
      </c>
      <c r="AQ55" s="556">
        <v>0.82269999999999999</v>
      </c>
      <c r="AR55" s="557">
        <v>0.83779999999999999</v>
      </c>
      <c r="AS55" s="558">
        <v>1.51</v>
      </c>
      <c r="AT55" s="583"/>
      <c r="AU55" s="580"/>
    </row>
    <row r="56" spans="1:47" ht="21" hidden="1" customHeight="1">
      <c r="A56" t="s">
        <v>204</v>
      </c>
      <c r="B56" t="s">
        <v>141</v>
      </c>
      <c r="C56" s="759"/>
      <c r="D56" s="561" t="s">
        <v>40</v>
      </c>
      <c r="E56" s="561" t="s">
        <v>142</v>
      </c>
      <c r="F56" s="561" t="s">
        <v>44</v>
      </c>
      <c r="G56" s="562" t="s">
        <v>42</v>
      </c>
      <c r="H56" s="563">
        <v>6558.87</v>
      </c>
      <c r="I56" s="564">
        <v>281</v>
      </c>
      <c r="J56" s="565">
        <v>23.341174377224199</v>
      </c>
      <c r="K56" s="566">
        <v>247</v>
      </c>
      <c r="L56" s="567">
        <v>0.12099644128113879</v>
      </c>
      <c r="M56" s="564">
        <v>212</v>
      </c>
      <c r="N56" s="568">
        <v>0.1417004048582996</v>
      </c>
      <c r="O56" s="565">
        <v>30.938066037735847</v>
      </c>
      <c r="P56" s="564">
        <v>85</v>
      </c>
      <c r="Q56" s="569">
        <v>0.34412955465587042</v>
      </c>
      <c r="R56" s="570">
        <v>77.16317647058824</v>
      </c>
      <c r="S56" s="565" t="s">
        <v>123</v>
      </c>
      <c r="T56" s="564" t="s">
        <v>123</v>
      </c>
      <c r="U56" s="565" t="s">
        <v>123</v>
      </c>
      <c r="V56" s="566" t="s">
        <v>123</v>
      </c>
      <c r="W56" s="567" t="s">
        <v>123</v>
      </c>
      <c r="X56" s="564" t="s">
        <v>123</v>
      </c>
      <c r="Y56" s="568" t="s">
        <v>123</v>
      </c>
      <c r="Z56" s="565" t="s">
        <v>123</v>
      </c>
      <c r="AA56" s="564" t="s">
        <v>123</v>
      </c>
      <c r="AB56" s="569" t="s">
        <v>123</v>
      </c>
      <c r="AC56" s="571" t="s">
        <v>123</v>
      </c>
      <c r="AD56" s="572">
        <v>6558.87</v>
      </c>
      <c r="AE56" s="573">
        <v>281</v>
      </c>
      <c r="AF56" s="565">
        <v>23.341174377224199</v>
      </c>
      <c r="AG56" s="566">
        <v>247</v>
      </c>
      <c r="AH56" s="567">
        <v>0.12099644128113879</v>
      </c>
      <c r="AI56" s="564">
        <v>212</v>
      </c>
      <c r="AJ56" s="568">
        <v>0.1417004048582996</v>
      </c>
      <c r="AK56" s="565">
        <v>30.938066037735847</v>
      </c>
      <c r="AL56" s="574">
        <v>85</v>
      </c>
      <c r="AM56" s="569">
        <v>0.34412955465587042</v>
      </c>
      <c r="AN56" s="570">
        <v>77.16317647058824</v>
      </c>
      <c r="AO56" s="569"/>
      <c r="AP56" s="575"/>
      <c r="AQ56" s="576"/>
      <c r="AR56" s="577"/>
      <c r="AS56" s="558">
        <v>1.51</v>
      </c>
      <c r="AT56" s="579"/>
      <c r="AU56" s="580"/>
    </row>
    <row r="57" spans="1:47" ht="21" hidden="1" customHeight="1">
      <c r="A57" t="s">
        <v>205</v>
      </c>
      <c r="B57" t="s">
        <v>144</v>
      </c>
      <c r="C57" s="759"/>
      <c r="D57" s="561" t="s">
        <v>52</v>
      </c>
      <c r="E57" s="561" t="s">
        <v>145</v>
      </c>
      <c r="F57" s="561" t="s">
        <v>44</v>
      </c>
      <c r="G57" s="562" t="s">
        <v>42</v>
      </c>
      <c r="H57" s="563">
        <v>9564.0400000000009</v>
      </c>
      <c r="I57" s="564">
        <v>390</v>
      </c>
      <c r="J57" s="565">
        <v>24.52317948717949</v>
      </c>
      <c r="K57" s="566">
        <v>312</v>
      </c>
      <c r="L57" s="567">
        <v>0.2</v>
      </c>
      <c r="M57" s="564">
        <v>247</v>
      </c>
      <c r="N57" s="568">
        <v>0.20833333333333334</v>
      </c>
      <c r="O57" s="565">
        <v>38.720809716599192</v>
      </c>
      <c r="P57" s="564">
        <v>72</v>
      </c>
      <c r="Q57" s="569">
        <v>0.23076923076923078</v>
      </c>
      <c r="R57" s="570">
        <v>132.83388888888891</v>
      </c>
      <c r="S57" s="565" t="s">
        <v>123</v>
      </c>
      <c r="T57" s="564" t="s">
        <v>123</v>
      </c>
      <c r="U57" s="565" t="s">
        <v>123</v>
      </c>
      <c r="V57" s="566" t="s">
        <v>123</v>
      </c>
      <c r="W57" s="567" t="s">
        <v>123</v>
      </c>
      <c r="X57" s="564" t="s">
        <v>123</v>
      </c>
      <c r="Y57" s="568" t="s">
        <v>123</v>
      </c>
      <c r="Z57" s="565" t="s">
        <v>123</v>
      </c>
      <c r="AA57" s="564" t="s">
        <v>123</v>
      </c>
      <c r="AB57" s="569" t="s">
        <v>123</v>
      </c>
      <c r="AC57" s="571" t="s">
        <v>123</v>
      </c>
      <c r="AD57" s="572">
        <v>9564.0400000000009</v>
      </c>
      <c r="AE57" s="573">
        <v>390</v>
      </c>
      <c r="AF57" s="565">
        <v>24.52317948717949</v>
      </c>
      <c r="AG57" s="566">
        <v>312</v>
      </c>
      <c r="AH57" s="567">
        <v>0.2</v>
      </c>
      <c r="AI57" s="564">
        <v>247</v>
      </c>
      <c r="AJ57" s="568">
        <v>0.20833333333333334</v>
      </c>
      <c r="AK57" s="565">
        <v>38.720809716599192</v>
      </c>
      <c r="AL57" s="574">
        <v>72</v>
      </c>
      <c r="AM57" s="569">
        <v>0.23076923076923078</v>
      </c>
      <c r="AN57" s="570">
        <v>132.83388888888891</v>
      </c>
      <c r="AO57" s="569"/>
      <c r="AP57" s="575"/>
      <c r="AQ57" s="576"/>
      <c r="AR57" s="577"/>
      <c r="AS57" s="558">
        <v>1.51</v>
      </c>
      <c r="AT57" s="579"/>
      <c r="AU57" s="580"/>
    </row>
    <row r="58" spans="1:47" ht="21" hidden="1" customHeight="1">
      <c r="A58" t="s">
        <v>206</v>
      </c>
      <c r="B58" t="s">
        <v>147</v>
      </c>
      <c r="C58" s="759"/>
      <c r="D58" s="561" t="s">
        <v>40</v>
      </c>
      <c r="E58" s="561" t="s">
        <v>57</v>
      </c>
      <c r="F58" s="561" t="s">
        <v>57</v>
      </c>
      <c r="G58" s="562" t="s">
        <v>42</v>
      </c>
      <c r="H58" s="563">
        <v>14620.75</v>
      </c>
      <c r="I58" s="564">
        <v>2013</v>
      </c>
      <c r="J58" s="565">
        <v>7.2631644311972181</v>
      </c>
      <c r="K58" s="566">
        <v>764</v>
      </c>
      <c r="L58" s="567">
        <v>0.62046696472925977</v>
      </c>
      <c r="M58" s="564">
        <v>503</v>
      </c>
      <c r="N58" s="568">
        <v>0.34162303664921467</v>
      </c>
      <c r="O58" s="565">
        <v>29.067097415506957</v>
      </c>
      <c r="P58" s="564">
        <v>13</v>
      </c>
      <c r="Q58" s="569">
        <v>1.7015706806282723E-2</v>
      </c>
      <c r="R58" s="570">
        <v>1124.6730769230769</v>
      </c>
      <c r="S58" s="565">
        <v>14620.75</v>
      </c>
      <c r="T58" s="564">
        <v>2013</v>
      </c>
      <c r="U58" s="565">
        <v>7.2631644311972181</v>
      </c>
      <c r="V58" s="566">
        <v>764</v>
      </c>
      <c r="W58" s="567">
        <v>0.62046696472925977</v>
      </c>
      <c r="X58" s="564">
        <v>503</v>
      </c>
      <c r="Y58" s="568">
        <v>0.34162303664921467</v>
      </c>
      <c r="Z58" s="565">
        <v>29.067097415506957</v>
      </c>
      <c r="AA58" s="564">
        <v>13</v>
      </c>
      <c r="AB58" s="569">
        <v>1.7015706806282723E-2</v>
      </c>
      <c r="AC58" s="571">
        <v>1124.6730769230769</v>
      </c>
      <c r="AD58" s="572" t="s">
        <v>123</v>
      </c>
      <c r="AE58" s="573" t="s">
        <v>123</v>
      </c>
      <c r="AF58" s="565" t="s">
        <v>123</v>
      </c>
      <c r="AG58" s="566" t="s">
        <v>123</v>
      </c>
      <c r="AH58" s="567" t="s">
        <v>123</v>
      </c>
      <c r="AI58" s="564" t="s">
        <v>123</v>
      </c>
      <c r="AJ58" s="568" t="s">
        <v>123</v>
      </c>
      <c r="AK58" s="565" t="s">
        <v>123</v>
      </c>
      <c r="AL58" s="574" t="s">
        <v>123</v>
      </c>
      <c r="AM58" s="569" t="s">
        <v>123</v>
      </c>
      <c r="AN58" s="570" t="s">
        <v>123</v>
      </c>
      <c r="AO58" s="569"/>
      <c r="AP58" s="575"/>
      <c r="AQ58" s="576"/>
      <c r="AR58" s="577"/>
      <c r="AS58" s="558">
        <v>1.51</v>
      </c>
      <c r="AT58" s="579"/>
      <c r="AU58" s="580"/>
    </row>
    <row r="59" spans="1:47" ht="21" hidden="1" customHeight="1">
      <c r="A59" t="s">
        <v>207</v>
      </c>
      <c r="B59" t="s">
        <v>149</v>
      </c>
      <c r="C59" s="759"/>
      <c r="D59" s="561" t="s">
        <v>52</v>
      </c>
      <c r="E59" s="561" t="s">
        <v>121</v>
      </c>
      <c r="F59" s="561" t="s">
        <v>44</v>
      </c>
      <c r="G59" s="562" t="s">
        <v>42</v>
      </c>
      <c r="H59" s="563">
        <v>1516.5</v>
      </c>
      <c r="I59" s="564">
        <v>9</v>
      </c>
      <c r="J59" s="565">
        <v>168.5</v>
      </c>
      <c r="K59" s="566">
        <v>6</v>
      </c>
      <c r="L59" s="567">
        <v>0.33333333333333331</v>
      </c>
      <c r="M59" s="564">
        <v>5</v>
      </c>
      <c r="N59" s="568">
        <v>0.16666666666666666</v>
      </c>
      <c r="O59" s="565">
        <v>303.3</v>
      </c>
      <c r="P59" s="564">
        <v>1</v>
      </c>
      <c r="Q59" s="569">
        <v>0.16666666666666666</v>
      </c>
      <c r="R59" s="570">
        <v>1516.5</v>
      </c>
      <c r="S59" s="565" t="s">
        <v>123</v>
      </c>
      <c r="T59" s="564" t="s">
        <v>123</v>
      </c>
      <c r="U59" s="565" t="s">
        <v>123</v>
      </c>
      <c r="V59" s="566" t="s">
        <v>123</v>
      </c>
      <c r="W59" s="567" t="s">
        <v>123</v>
      </c>
      <c r="X59" s="564" t="s">
        <v>123</v>
      </c>
      <c r="Y59" s="568" t="s">
        <v>123</v>
      </c>
      <c r="Z59" s="565" t="s">
        <v>123</v>
      </c>
      <c r="AA59" s="564" t="s">
        <v>123</v>
      </c>
      <c r="AB59" s="569" t="s">
        <v>123</v>
      </c>
      <c r="AC59" s="571" t="s">
        <v>123</v>
      </c>
      <c r="AD59" s="572">
        <v>1516.5</v>
      </c>
      <c r="AE59" s="573">
        <v>9</v>
      </c>
      <c r="AF59" s="565">
        <v>168.5</v>
      </c>
      <c r="AG59" s="566">
        <v>6</v>
      </c>
      <c r="AH59" s="567">
        <v>0.33333333333333331</v>
      </c>
      <c r="AI59" s="564">
        <v>5</v>
      </c>
      <c r="AJ59" s="568">
        <v>0.16666666666666666</v>
      </c>
      <c r="AK59" s="565">
        <v>303.3</v>
      </c>
      <c r="AL59" s="574">
        <v>1</v>
      </c>
      <c r="AM59" s="569">
        <v>0.16666666666666666</v>
      </c>
      <c r="AN59" s="570">
        <v>1516.5</v>
      </c>
      <c r="AO59" s="569"/>
      <c r="AP59" s="575"/>
      <c r="AQ59" s="576"/>
      <c r="AR59" s="577"/>
      <c r="AS59" s="558">
        <v>1.51</v>
      </c>
      <c r="AT59" s="579"/>
      <c r="AU59" s="580"/>
    </row>
    <row r="60" spans="1:47" ht="21" hidden="1" customHeight="1">
      <c r="A60" t="s">
        <v>208</v>
      </c>
      <c r="B60" t="s">
        <v>151</v>
      </c>
      <c r="C60" s="759"/>
      <c r="D60" s="561" t="s">
        <v>40</v>
      </c>
      <c r="E60" s="561" t="s">
        <v>142</v>
      </c>
      <c r="F60" s="561" t="s">
        <v>44</v>
      </c>
      <c r="G60" s="562" t="s">
        <v>60</v>
      </c>
      <c r="H60" s="563">
        <v>2651.26</v>
      </c>
      <c r="I60" s="564">
        <v>228</v>
      </c>
      <c r="J60" s="565">
        <v>11.628333333333334</v>
      </c>
      <c r="K60" s="566">
        <v>215</v>
      </c>
      <c r="L60" s="567">
        <v>5.701754385964912E-2</v>
      </c>
      <c r="M60" s="564">
        <v>188</v>
      </c>
      <c r="N60" s="568">
        <v>0.12558139534883722</v>
      </c>
      <c r="O60" s="565">
        <v>14.10244680851064</v>
      </c>
      <c r="P60" s="564">
        <v>72</v>
      </c>
      <c r="Q60" s="569">
        <v>0.33488372093023255</v>
      </c>
      <c r="R60" s="570">
        <v>36.823055555555555</v>
      </c>
      <c r="S60" s="565" t="s">
        <v>123</v>
      </c>
      <c r="T60" s="564" t="s">
        <v>123</v>
      </c>
      <c r="U60" s="565" t="s">
        <v>123</v>
      </c>
      <c r="V60" s="566" t="s">
        <v>123</v>
      </c>
      <c r="W60" s="567" t="s">
        <v>123</v>
      </c>
      <c r="X60" s="564" t="s">
        <v>123</v>
      </c>
      <c r="Y60" s="568" t="s">
        <v>123</v>
      </c>
      <c r="Z60" s="565" t="s">
        <v>123</v>
      </c>
      <c r="AA60" s="564" t="s">
        <v>123</v>
      </c>
      <c r="AB60" s="569" t="s">
        <v>123</v>
      </c>
      <c r="AC60" s="571" t="s">
        <v>123</v>
      </c>
      <c r="AD60" s="572">
        <v>2651.26</v>
      </c>
      <c r="AE60" s="573">
        <v>228</v>
      </c>
      <c r="AF60" s="565">
        <v>11.628333333333334</v>
      </c>
      <c r="AG60" s="566">
        <v>215</v>
      </c>
      <c r="AH60" s="567">
        <v>5.701754385964912E-2</v>
      </c>
      <c r="AI60" s="564">
        <v>188</v>
      </c>
      <c r="AJ60" s="568">
        <v>0.12558139534883722</v>
      </c>
      <c r="AK60" s="565">
        <v>14.10244680851064</v>
      </c>
      <c r="AL60" s="574">
        <v>72</v>
      </c>
      <c r="AM60" s="569">
        <v>0.33488372093023255</v>
      </c>
      <c r="AN60" s="570">
        <v>36.823055555555555</v>
      </c>
      <c r="AO60" s="569"/>
      <c r="AP60" s="575"/>
      <c r="AQ60" s="576"/>
      <c r="AR60" s="577"/>
      <c r="AS60" s="558">
        <v>1.51</v>
      </c>
      <c r="AT60" s="579"/>
      <c r="AU60" s="580"/>
    </row>
    <row r="61" spans="1:47" ht="21" hidden="1" customHeight="1">
      <c r="A61" t="s">
        <v>209</v>
      </c>
      <c r="B61" t="s">
        <v>153</v>
      </c>
      <c r="C61" s="759"/>
      <c r="D61" s="561" t="s">
        <v>52</v>
      </c>
      <c r="E61" s="561" t="s">
        <v>145</v>
      </c>
      <c r="F61" s="561" t="s">
        <v>44</v>
      </c>
      <c r="G61" s="562" t="s">
        <v>60</v>
      </c>
      <c r="H61" s="563">
        <v>10378.25</v>
      </c>
      <c r="I61" s="564">
        <v>389</v>
      </c>
      <c r="J61" s="565">
        <v>26.679305912596401</v>
      </c>
      <c r="K61" s="566">
        <v>394</v>
      </c>
      <c r="L61" s="567">
        <v>-1.2853470437017995E-2</v>
      </c>
      <c r="M61" s="564">
        <v>334</v>
      </c>
      <c r="N61" s="568">
        <v>0.15228426395939088</v>
      </c>
      <c r="O61" s="565">
        <v>31.072604790419163</v>
      </c>
      <c r="P61" s="564">
        <v>97</v>
      </c>
      <c r="Q61" s="569">
        <v>0.24619289340101522</v>
      </c>
      <c r="R61" s="570">
        <v>106.99226804123711</v>
      </c>
      <c r="S61" s="565" t="s">
        <v>123</v>
      </c>
      <c r="T61" s="564" t="s">
        <v>123</v>
      </c>
      <c r="U61" s="565" t="s">
        <v>123</v>
      </c>
      <c r="V61" s="566" t="s">
        <v>123</v>
      </c>
      <c r="W61" s="567" t="s">
        <v>123</v>
      </c>
      <c r="X61" s="564" t="s">
        <v>123</v>
      </c>
      <c r="Y61" s="568" t="s">
        <v>123</v>
      </c>
      <c r="Z61" s="565" t="s">
        <v>123</v>
      </c>
      <c r="AA61" s="564" t="s">
        <v>123</v>
      </c>
      <c r="AB61" s="569" t="s">
        <v>123</v>
      </c>
      <c r="AC61" s="571" t="s">
        <v>123</v>
      </c>
      <c r="AD61" s="572">
        <v>10378.25</v>
      </c>
      <c r="AE61" s="573">
        <v>389</v>
      </c>
      <c r="AF61" s="565">
        <v>26.679305912596401</v>
      </c>
      <c r="AG61" s="566">
        <v>394</v>
      </c>
      <c r="AH61" s="567">
        <v>-1.2853470437017995E-2</v>
      </c>
      <c r="AI61" s="564">
        <v>334</v>
      </c>
      <c r="AJ61" s="568">
        <v>0.15228426395939088</v>
      </c>
      <c r="AK61" s="565">
        <v>31.072604790419163</v>
      </c>
      <c r="AL61" s="574">
        <v>97</v>
      </c>
      <c r="AM61" s="569">
        <v>0.24619289340101522</v>
      </c>
      <c r="AN61" s="570">
        <v>106.99226804123711</v>
      </c>
      <c r="AO61" s="569"/>
      <c r="AP61" s="575"/>
      <c r="AQ61" s="576"/>
      <c r="AR61" s="577"/>
      <c r="AS61" s="558">
        <v>1.51</v>
      </c>
      <c r="AT61" s="579"/>
      <c r="AU61" s="580"/>
    </row>
    <row r="62" spans="1:47" ht="21" hidden="1" customHeight="1">
      <c r="A62" t="s">
        <v>210</v>
      </c>
      <c r="B62" t="s">
        <v>155</v>
      </c>
      <c r="C62" s="760"/>
      <c r="D62" s="561" t="s">
        <v>40</v>
      </c>
      <c r="E62" s="561" t="s">
        <v>57</v>
      </c>
      <c r="F62" s="561" t="s">
        <v>57</v>
      </c>
      <c r="G62" s="562" t="s">
        <v>60</v>
      </c>
      <c r="H62" s="563">
        <v>28954.28</v>
      </c>
      <c r="I62" s="581">
        <v>3335</v>
      </c>
      <c r="J62" s="582">
        <v>8.6819430284857564</v>
      </c>
      <c r="K62" s="566">
        <v>1823</v>
      </c>
      <c r="L62" s="567">
        <v>0.45337331334332831</v>
      </c>
      <c r="M62" s="564">
        <v>1414</v>
      </c>
      <c r="N62" s="568">
        <v>0.22435545803620405</v>
      </c>
      <c r="O62" s="586">
        <v>20.476859971711455</v>
      </c>
      <c r="P62" s="564">
        <v>280</v>
      </c>
      <c r="Q62" s="569">
        <v>0.15359297860669227</v>
      </c>
      <c r="R62" s="570">
        <v>103.40814285714285</v>
      </c>
      <c r="S62" s="565">
        <v>28954.28</v>
      </c>
      <c r="T62" s="564">
        <v>3335</v>
      </c>
      <c r="U62" s="565">
        <v>8.6819430284857564</v>
      </c>
      <c r="V62" s="566">
        <v>1823</v>
      </c>
      <c r="W62" s="567">
        <v>0.45337331334332831</v>
      </c>
      <c r="X62" s="564">
        <v>1414</v>
      </c>
      <c r="Y62" s="568">
        <v>0.22435545803620405</v>
      </c>
      <c r="Z62" s="586">
        <v>20.476859971711455</v>
      </c>
      <c r="AA62" s="564">
        <v>280</v>
      </c>
      <c r="AB62" s="569">
        <v>0.15359297860669227</v>
      </c>
      <c r="AC62" s="571">
        <v>103.40814285714285</v>
      </c>
      <c r="AD62" s="572" t="s">
        <v>123</v>
      </c>
      <c r="AE62" s="573" t="s">
        <v>123</v>
      </c>
      <c r="AF62" s="565" t="s">
        <v>123</v>
      </c>
      <c r="AG62" s="566" t="s">
        <v>123</v>
      </c>
      <c r="AH62" s="567" t="s">
        <v>123</v>
      </c>
      <c r="AI62" s="564" t="s">
        <v>123</v>
      </c>
      <c r="AJ62" s="568" t="s">
        <v>123</v>
      </c>
      <c r="AK62" s="586" t="s">
        <v>123</v>
      </c>
      <c r="AL62" s="574" t="s">
        <v>123</v>
      </c>
      <c r="AM62" s="569" t="s">
        <v>123</v>
      </c>
      <c r="AN62" s="570" t="s">
        <v>123</v>
      </c>
      <c r="AO62" s="569"/>
      <c r="AP62" s="587"/>
      <c r="AQ62" s="576"/>
      <c r="AR62" s="588"/>
      <c r="AS62" s="558">
        <v>1.51</v>
      </c>
      <c r="AT62" s="579"/>
      <c r="AU62" s="580"/>
    </row>
    <row r="63" spans="1:47" ht="49.95" customHeight="1">
      <c r="C63" s="758" t="s">
        <v>211</v>
      </c>
      <c r="D63" s="541"/>
      <c r="E63" s="541"/>
      <c r="F63" s="541"/>
      <c r="G63" s="542" t="s">
        <v>139</v>
      </c>
      <c r="H63" s="543">
        <v>68045.89</v>
      </c>
      <c r="I63" s="544">
        <v>3768</v>
      </c>
      <c r="J63" s="545">
        <v>18.058888004246285</v>
      </c>
      <c r="K63" s="546">
        <v>2758</v>
      </c>
      <c r="L63" s="547">
        <v>0.26804670912951167</v>
      </c>
      <c r="M63" s="544">
        <v>1899</v>
      </c>
      <c r="N63" s="548">
        <v>0.31145757795503987</v>
      </c>
      <c r="O63" s="549">
        <v>35.83248551869405</v>
      </c>
      <c r="P63" s="544">
        <v>643</v>
      </c>
      <c r="Q63" s="548">
        <v>0.2331399564902103</v>
      </c>
      <c r="R63" s="550">
        <v>105.82564541213064</v>
      </c>
      <c r="S63" s="545">
        <v>30320.99</v>
      </c>
      <c r="T63" s="544">
        <v>2278</v>
      </c>
      <c r="U63" s="545">
        <v>13.310355575065849</v>
      </c>
      <c r="V63" s="546">
        <v>1410</v>
      </c>
      <c r="W63" s="547">
        <v>0.38103599648814751</v>
      </c>
      <c r="X63" s="544">
        <v>925</v>
      </c>
      <c r="Y63" s="548">
        <v>0.34397163120567376</v>
      </c>
      <c r="Z63" s="549">
        <v>32.779448648648653</v>
      </c>
      <c r="AA63" s="544">
        <v>228</v>
      </c>
      <c r="AB63" s="548">
        <v>0.16170212765957448</v>
      </c>
      <c r="AC63" s="551">
        <v>132.98679824561404</v>
      </c>
      <c r="AD63" s="552">
        <v>37724.9</v>
      </c>
      <c r="AE63" s="553">
        <v>1490</v>
      </c>
      <c r="AF63" s="545">
        <v>25.318724832214766</v>
      </c>
      <c r="AG63" s="546">
        <v>1348</v>
      </c>
      <c r="AH63" s="547">
        <v>9.5302013422818799E-2</v>
      </c>
      <c r="AI63" s="553">
        <v>974</v>
      </c>
      <c r="AJ63" s="548">
        <v>0.27744807121661719</v>
      </c>
      <c r="AK63" s="549">
        <v>38.731930184804931</v>
      </c>
      <c r="AL63" s="554">
        <v>415</v>
      </c>
      <c r="AM63" s="548">
        <v>0.30786350148367952</v>
      </c>
      <c r="AN63" s="550">
        <v>90.903373493975906</v>
      </c>
      <c r="AO63" s="548">
        <v>0.8871</v>
      </c>
      <c r="AP63" s="555">
        <v>0.76060000000000005</v>
      </c>
      <c r="AQ63" s="556">
        <v>0.8</v>
      </c>
      <c r="AR63" s="557">
        <v>0.80500000000000005</v>
      </c>
      <c r="AS63" s="558">
        <v>1.66</v>
      </c>
      <c r="AT63" s="589" t="s">
        <v>212</v>
      </c>
      <c r="AU63" s="589" t="s">
        <v>213</v>
      </c>
    </row>
    <row r="64" spans="1:47" ht="21" hidden="1" customHeight="1">
      <c r="A64" t="s">
        <v>214</v>
      </c>
      <c r="B64" t="s">
        <v>141</v>
      </c>
      <c r="C64" s="759"/>
      <c r="D64" s="561" t="s">
        <v>40</v>
      </c>
      <c r="E64" s="561" t="s">
        <v>142</v>
      </c>
      <c r="F64" s="561" t="s">
        <v>44</v>
      </c>
      <c r="G64" s="562" t="s">
        <v>42</v>
      </c>
      <c r="H64" s="563">
        <v>8585.01</v>
      </c>
      <c r="I64" s="564">
        <v>344</v>
      </c>
      <c r="J64" s="565">
        <v>24.956424418604652</v>
      </c>
      <c r="K64" s="566">
        <v>315</v>
      </c>
      <c r="L64" s="567">
        <v>8.4302325581395346E-2</v>
      </c>
      <c r="M64" s="564">
        <v>241</v>
      </c>
      <c r="N64" s="568">
        <v>0.23492063492063492</v>
      </c>
      <c r="O64" s="565">
        <v>35.622448132780086</v>
      </c>
      <c r="P64" s="564">
        <v>116</v>
      </c>
      <c r="Q64" s="569">
        <v>0.36825396825396828</v>
      </c>
      <c r="R64" s="570">
        <v>74.008706896551729</v>
      </c>
      <c r="S64" s="565" t="s">
        <v>123</v>
      </c>
      <c r="T64" s="564" t="s">
        <v>123</v>
      </c>
      <c r="U64" s="565" t="s">
        <v>123</v>
      </c>
      <c r="V64" s="566" t="s">
        <v>123</v>
      </c>
      <c r="W64" s="567" t="s">
        <v>123</v>
      </c>
      <c r="X64" s="564" t="s">
        <v>123</v>
      </c>
      <c r="Y64" s="568" t="s">
        <v>123</v>
      </c>
      <c r="Z64" s="565" t="s">
        <v>123</v>
      </c>
      <c r="AA64" s="564" t="s">
        <v>123</v>
      </c>
      <c r="AB64" s="569" t="s">
        <v>123</v>
      </c>
      <c r="AC64" s="571" t="s">
        <v>123</v>
      </c>
      <c r="AD64" s="563">
        <v>8585.01</v>
      </c>
      <c r="AE64" s="564">
        <v>344</v>
      </c>
      <c r="AF64" s="565">
        <v>24.956424418604652</v>
      </c>
      <c r="AG64" s="566">
        <v>315</v>
      </c>
      <c r="AH64" s="567">
        <v>8.4302325581395346E-2</v>
      </c>
      <c r="AI64" s="564">
        <v>241</v>
      </c>
      <c r="AJ64" s="568">
        <v>0.23492063492063492</v>
      </c>
      <c r="AK64" s="565">
        <v>35.622448132780086</v>
      </c>
      <c r="AL64" s="591">
        <v>116</v>
      </c>
      <c r="AM64" s="569">
        <v>0.36825396825396828</v>
      </c>
      <c r="AN64" s="570">
        <v>74.008706896551729</v>
      </c>
      <c r="AO64" s="569"/>
      <c r="AP64" s="575"/>
      <c r="AQ64" s="576"/>
      <c r="AR64" s="577"/>
      <c r="AS64" s="578"/>
      <c r="AT64" s="579"/>
      <c r="AU64" s="580"/>
    </row>
    <row r="65" spans="1:47" ht="21" hidden="1" customHeight="1">
      <c r="A65" t="s">
        <v>215</v>
      </c>
      <c r="B65" t="s">
        <v>144</v>
      </c>
      <c r="C65" s="759"/>
      <c r="D65" s="561" t="s">
        <v>52</v>
      </c>
      <c r="E65" s="561" t="s">
        <v>145</v>
      </c>
      <c r="F65" s="561" t="s">
        <v>44</v>
      </c>
      <c r="G65" s="562" t="s">
        <v>42</v>
      </c>
      <c r="H65" s="563">
        <v>12110.21</v>
      </c>
      <c r="I65" s="564">
        <v>461</v>
      </c>
      <c r="J65" s="565">
        <v>26.269436008676788</v>
      </c>
      <c r="K65" s="566">
        <v>356</v>
      </c>
      <c r="L65" s="567">
        <v>0.22776572668112799</v>
      </c>
      <c r="M65" s="564">
        <v>251</v>
      </c>
      <c r="N65" s="568">
        <v>0.2949438202247191</v>
      </c>
      <c r="O65" s="565">
        <v>48.247848605577687</v>
      </c>
      <c r="P65" s="564">
        <v>84</v>
      </c>
      <c r="Q65" s="569">
        <v>0.23595505617977527</v>
      </c>
      <c r="R65" s="570">
        <v>144.16916666666665</v>
      </c>
      <c r="S65" s="565" t="s">
        <v>123</v>
      </c>
      <c r="T65" s="564" t="s">
        <v>123</v>
      </c>
      <c r="U65" s="565" t="s">
        <v>123</v>
      </c>
      <c r="V65" s="566" t="s">
        <v>123</v>
      </c>
      <c r="W65" s="567" t="s">
        <v>123</v>
      </c>
      <c r="X65" s="564" t="s">
        <v>123</v>
      </c>
      <c r="Y65" s="568" t="s">
        <v>123</v>
      </c>
      <c r="Z65" s="565" t="s">
        <v>123</v>
      </c>
      <c r="AA65" s="564" t="s">
        <v>123</v>
      </c>
      <c r="AB65" s="569" t="s">
        <v>123</v>
      </c>
      <c r="AC65" s="571" t="s">
        <v>123</v>
      </c>
      <c r="AD65" s="563">
        <v>12110.21</v>
      </c>
      <c r="AE65" s="564">
        <v>461</v>
      </c>
      <c r="AF65" s="565">
        <v>26.269436008676788</v>
      </c>
      <c r="AG65" s="566">
        <v>356</v>
      </c>
      <c r="AH65" s="567">
        <v>0.22776572668112799</v>
      </c>
      <c r="AI65" s="564">
        <v>251</v>
      </c>
      <c r="AJ65" s="568">
        <v>0.2949438202247191</v>
      </c>
      <c r="AK65" s="565">
        <v>48.247848605577687</v>
      </c>
      <c r="AL65" s="591">
        <v>84</v>
      </c>
      <c r="AM65" s="569">
        <v>0.23595505617977527</v>
      </c>
      <c r="AN65" s="570">
        <v>144.16916666666665</v>
      </c>
      <c r="AO65" s="569"/>
      <c r="AP65" s="575"/>
      <c r="AQ65" s="576"/>
      <c r="AR65" s="577"/>
      <c r="AS65" s="578"/>
      <c r="AT65" s="579"/>
      <c r="AU65" s="580"/>
    </row>
    <row r="66" spans="1:47" ht="21" hidden="1" customHeight="1">
      <c r="A66" t="s">
        <v>216</v>
      </c>
      <c r="B66" t="s">
        <v>147</v>
      </c>
      <c r="C66" s="759"/>
      <c r="D66" s="561" t="s">
        <v>40</v>
      </c>
      <c r="E66" s="561" t="s">
        <v>57</v>
      </c>
      <c r="F66" s="561" t="s">
        <v>57</v>
      </c>
      <c r="G66" s="562" t="s">
        <v>42</v>
      </c>
      <c r="H66" s="563">
        <v>3893</v>
      </c>
      <c r="I66" s="564">
        <v>564</v>
      </c>
      <c r="J66" s="565">
        <v>6.9024822695035457</v>
      </c>
      <c r="K66" s="566">
        <v>213</v>
      </c>
      <c r="L66" s="567">
        <v>0.62234042553191493</v>
      </c>
      <c r="M66" s="564">
        <v>60</v>
      </c>
      <c r="N66" s="568">
        <v>0.71830985915492962</v>
      </c>
      <c r="O66" s="565">
        <v>64.88333333333334</v>
      </c>
      <c r="P66" s="564">
        <v>4</v>
      </c>
      <c r="Q66" s="569">
        <v>1.8779342723004695E-2</v>
      </c>
      <c r="R66" s="570">
        <v>973.25</v>
      </c>
      <c r="S66" s="565">
        <v>3893</v>
      </c>
      <c r="T66" s="564">
        <v>564</v>
      </c>
      <c r="U66" s="565">
        <v>6.9024822695035457</v>
      </c>
      <c r="V66" s="566">
        <v>213</v>
      </c>
      <c r="W66" s="567">
        <v>0.62234042553191493</v>
      </c>
      <c r="X66" s="564">
        <v>60</v>
      </c>
      <c r="Y66" s="568">
        <v>0.71830985915492962</v>
      </c>
      <c r="Z66" s="565">
        <v>64.88333333333334</v>
      </c>
      <c r="AA66" s="564">
        <v>4</v>
      </c>
      <c r="AB66" s="569">
        <v>1.8779342723004695E-2</v>
      </c>
      <c r="AC66" s="571">
        <v>973.25</v>
      </c>
      <c r="AD66" s="563" t="s">
        <v>123</v>
      </c>
      <c r="AE66" s="564" t="s">
        <v>123</v>
      </c>
      <c r="AF66" s="565" t="s">
        <v>123</v>
      </c>
      <c r="AG66" s="566" t="s">
        <v>123</v>
      </c>
      <c r="AH66" s="567" t="s">
        <v>123</v>
      </c>
      <c r="AI66" s="564" t="s">
        <v>123</v>
      </c>
      <c r="AJ66" s="568" t="s">
        <v>123</v>
      </c>
      <c r="AK66" s="565" t="s">
        <v>123</v>
      </c>
      <c r="AL66" s="591" t="s">
        <v>123</v>
      </c>
      <c r="AM66" s="569" t="s">
        <v>123</v>
      </c>
      <c r="AN66" s="570" t="s">
        <v>123</v>
      </c>
      <c r="AO66" s="569"/>
      <c r="AP66" s="575"/>
      <c r="AQ66" s="576"/>
      <c r="AR66" s="577"/>
      <c r="AS66" s="578"/>
      <c r="AT66" s="579"/>
      <c r="AU66" s="580"/>
    </row>
    <row r="67" spans="1:47" ht="21" hidden="1" customHeight="1">
      <c r="A67" t="s">
        <v>217</v>
      </c>
      <c r="B67" t="s">
        <v>149</v>
      </c>
      <c r="C67" s="759"/>
      <c r="D67" s="561" t="s">
        <v>52</v>
      </c>
      <c r="E67" s="561" t="s">
        <v>121</v>
      </c>
      <c r="F67" s="561" t="s">
        <v>44</v>
      </c>
      <c r="G67" s="562" t="s">
        <v>42</v>
      </c>
      <c r="H67" s="563">
        <v>1526.36</v>
      </c>
      <c r="I67" s="564">
        <v>11</v>
      </c>
      <c r="J67" s="565">
        <v>138.76</v>
      </c>
      <c r="K67" s="566">
        <v>10</v>
      </c>
      <c r="L67" s="567">
        <v>9.0909090909090912E-2</v>
      </c>
      <c r="M67" s="564">
        <v>9</v>
      </c>
      <c r="N67" s="568">
        <v>0.1</v>
      </c>
      <c r="O67" s="565">
        <v>169.59555555555553</v>
      </c>
      <c r="P67" s="564">
        <v>6</v>
      </c>
      <c r="Q67" s="569">
        <v>0.6</v>
      </c>
      <c r="R67" s="570">
        <v>254.39333333333332</v>
      </c>
      <c r="S67" s="565" t="s">
        <v>123</v>
      </c>
      <c r="T67" s="564" t="s">
        <v>123</v>
      </c>
      <c r="U67" s="565" t="s">
        <v>123</v>
      </c>
      <c r="V67" s="566" t="s">
        <v>123</v>
      </c>
      <c r="W67" s="567" t="s">
        <v>123</v>
      </c>
      <c r="X67" s="564" t="s">
        <v>123</v>
      </c>
      <c r="Y67" s="568" t="s">
        <v>123</v>
      </c>
      <c r="Z67" s="565" t="s">
        <v>123</v>
      </c>
      <c r="AA67" s="564" t="s">
        <v>123</v>
      </c>
      <c r="AB67" s="569" t="s">
        <v>123</v>
      </c>
      <c r="AC67" s="571" t="s">
        <v>123</v>
      </c>
      <c r="AD67" s="563">
        <v>1526.36</v>
      </c>
      <c r="AE67" s="564">
        <v>11</v>
      </c>
      <c r="AF67" s="565">
        <v>138.76</v>
      </c>
      <c r="AG67" s="566">
        <v>10</v>
      </c>
      <c r="AH67" s="567">
        <v>9.0909090909090912E-2</v>
      </c>
      <c r="AI67" s="564">
        <v>9</v>
      </c>
      <c r="AJ67" s="568">
        <v>0.1</v>
      </c>
      <c r="AK67" s="565">
        <v>169.59555555555553</v>
      </c>
      <c r="AL67" s="591">
        <v>6</v>
      </c>
      <c r="AM67" s="569">
        <v>0.6</v>
      </c>
      <c r="AN67" s="570">
        <v>254.39333333333332</v>
      </c>
      <c r="AO67" s="569"/>
      <c r="AP67" s="575"/>
      <c r="AQ67" s="576"/>
      <c r="AR67" s="577"/>
      <c r="AS67" s="578"/>
      <c r="AT67" s="579"/>
      <c r="AU67" s="580"/>
    </row>
    <row r="68" spans="1:47" ht="21" hidden="1" customHeight="1">
      <c r="A68" t="s">
        <v>218</v>
      </c>
      <c r="B68" t="s">
        <v>151</v>
      </c>
      <c r="C68" s="759"/>
      <c r="D68" s="561" t="s">
        <v>40</v>
      </c>
      <c r="E68" s="561" t="s">
        <v>142</v>
      </c>
      <c r="F68" s="561" t="s">
        <v>44</v>
      </c>
      <c r="G68" s="562" t="s">
        <v>60</v>
      </c>
      <c r="H68" s="563">
        <v>3665.1</v>
      </c>
      <c r="I68" s="564">
        <v>278</v>
      </c>
      <c r="J68" s="565">
        <v>13.183812949640288</v>
      </c>
      <c r="K68" s="566">
        <v>281</v>
      </c>
      <c r="L68" s="567">
        <v>-1.0791366906474821E-2</v>
      </c>
      <c r="M68" s="564">
        <v>190</v>
      </c>
      <c r="N68" s="568">
        <v>0.32384341637010677</v>
      </c>
      <c r="O68" s="565">
        <v>19.29</v>
      </c>
      <c r="P68" s="564">
        <v>86</v>
      </c>
      <c r="Q68" s="569">
        <v>0.30604982206405695</v>
      </c>
      <c r="R68" s="570">
        <v>42.617441860465114</v>
      </c>
      <c r="S68" s="565" t="s">
        <v>123</v>
      </c>
      <c r="T68" s="564" t="s">
        <v>123</v>
      </c>
      <c r="U68" s="565" t="s">
        <v>123</v>
      </c>
      <c r="V68" s="566" t="s">
        <v>123</v>
      </c>
      <c r="W68" s="567" t="s">
        <v>123</v>
      </c>
      <c r="X68" s="564" t="s">
        <v>123</v>
      </c>
      <c r="Y68" s="568" t="s">
        <v>123</v>
      </c>
      <c r="Z68" s="565" t="s">
        <v>123</v>
      </c>
      <c r="AA68" s="564" t="s">
        <v>123</v>
      </c>
      <c r="AB68" s="569" t="s">
        <v>123</v>
      </c>
      <c r="AC68" s="571" t="s">
        <v>123</v>
      </c>
      <c r="AD68" s="563">
        <v>3665.1</v>
      </c>
      <c r="AE68" s="564">
        <v>278</v>
      </c>
      <c r="AF68" s="565">
        <v>13.183812949640288</v>
      </c>
      <c r="AG68" s="566">
        <v>281</v>
      </c>
      <c r="AH68" s="567">
        <v>-1.0791366906474821E-2</v>
      </c>
      <c r="AI68" s="564">
        <v>190</v>
      </c>
      <c r="AJ68" s="568">
        <v>0.32384341637010677</v>
      </c>
      <c r="AK68" s="565">
        <v>19.29</v>
      </c>
      <c r="AL68" s="591">
        <v>86</v>
      </c>
      <c r="AM68" s="569">
        <v>0.30604982206405695</v>
      </c>
      <c r="AN68" s="570">
        <v>42.617441860465114</v>
      </c>
      <c r="AO68" s="569"/>
      <c r="AP68" s="575"/>
      <c r="AQ68" s="576"/>
      <c r="AR68" s="577"/>
      <c r="AS68" s="578"/>
      <c r="AT68" s="579"/>
      <c r="AU68" s="580"/>
    </row>
    <row r="69" spans="1:47" ht="21" hidden="1" customHeight="1">
      <c r="A69" t="s">
        <v>219</v>
      </c>
      <c r="B69" t="s">
        <v>153</v>
      </c>
      <c r="C69" s="759"/>
      <c r="D69" s="561" t="s">
        <v>52</v>
      </c>
      <c r="E69" s="561" t="s">
        <v>145</v>
      </c>
      <c r="F69" s="561" t="s">
        <v>44</v>
      </c>
      <c r="G69" s="562" t="s">
        <v>60</v>
      </c>
      <c r="H69" s="563">
        <v>11838.22</v>
      </c>
      <c r="I69" s="564">
        <v>396</v>
      </c>
      <c r="J69" s="565">
        <v>29.894494949494948</v>
      </c>
      <c r="K69" s="566">
        <v>386</v>
      </c>
      <c r="L69" s="567">
        <v>2.5252525252525252E-2</v>
      </c>
      <c r="M69" s="564">
        <v>283</v>
      </c>
      <c r="N69" s="568">
        <v>0.26683937823834197</v>
      </c>
      <c r="O69" s="565">
        <v>41.831166077738516</v>
      </c>
      <c r="P69" s="564">
        <v>123</v>
      </c>
      <c r="Q69" s="569">
        <v>0.31865284974093266</v>
      </c>
      <c r="R69" s="570">
        <v>96.245691056910559</v>
      </c>
      <c r="S69" s="565" t="s">
        <v>123</v>
      </c>
      <c r="T69" s="564" t="s">
        <v>123</v>
      </c>
      <c r="U69" s="565" t="s">
        <v>123</v>
      </c>
      <c r="V69" s="566" t="s">
        <v>123</v>
      </c>
      <c r="W69" s="567" t="s">
        <v>123</v>
      </c>
      <c r="X69" s="564" t="s">
        <v>123</v>
      </c>
      <c r="Y69" s="568" t="s">
        <v>123</v>
      </c>
      <c r="Z69" s="565" t="s">
        <v>123</v>
      </c>
      <c r="AA69" s="564" t="s">
        <v>123</v>
      </c>
      <c r="AB69" s="569" t="s">
        <v>123</v>
      </c>
      <c r="AC69" s="571" t="s">
        <v>123</v>
      </c>
      <c r="AD69" s="563">
        <v>11838.22</v>
      </c>
      <c r="AE69" s="564">
        <v>396</v>
      </c>
      <c r="AF69" s="565">
        <v>29.894494949494948</v>
      </c>
      <c r="AG69" s="566">
        <v>386</v>
      </c>
      <c r="AH69" s="567">
        <v>2.5252525252525252E-2</v>
      </c>
      <c r="AI69" s="564">
        <v>283</v>
      </c>
      <c r="AJ69" s="568">
        <v>0.26683937823834197</v>
      </c>
      <c r="AK69" s="565">
        <v>41.831166077738516</v>
      </c>
      <c r="AL69" s="591">
        <v>123</v>
      </c>
      <c r="AM69" s="569">
        <v>0.31865284974093266</v>
      </c>
      <c r="AN69" s="570">
        <v>96.245691056910559</v>
      </c>
      <c r="AO69" s="569"/>
      <c r="AP69" s="575"/>
      <c r="AQ69" s="576"/>
      <c r="AR69" s="577"/>
      <c r="AS69" s="578"/>
      <c r="AT69" s="579"/>
      <c r="AU69" s="580"/>
    </row>
    <row r="70" spans="1:47" ht="21" hidden="1" customHeight="1">
      <c r="A70" t="s">
        <v>220</v>
      </c>
      <c r="B70" t="s">
        <v>155</v>
      </c>
      <c r="C70" s="760"/>
      <c r="D70" s="561" t="s">
        <v>40</v>
      </c>
      <c r="E70" s="561" t="s">
        <v>57</v>
      </c>
      <c r="F70" s="561" t="s">
        <v>57</v>
      </c>
      <c r="G70" s="562" t="s">
        <v>60</v>
      </c>
      <c r="H70" s="563">
        <v>26427.99</v>
      </c>
      <c r="I70" s="581">
        <v>1714</v>
      </c>
      <c r="J70" s="582">
        <v>15.41889731621937</v>
      </c>
      <c r="K70" s="566">
        <v>1197</v>
      </c>
      <c r="L70" s="567">
        <v>0.3016336056009335</v>
      </c>
      <c r="M70" s="564">
        <v>865</v>
      </c>
      <c r="N70" s="568">
        <v>0.27736006683375103</v>
      </c>
      <c r="O70" s="586">
        <v>30.552589595375725</v>
      </c>
      <c r="P70" s="564">
        <v>224</v>
      </c>
      <c r="Q70" s="569">
        <v>0.1871345029239766</v>
      </c>
      <c r="R70" s="570">
        <v>117.98209821428573</v>
      </c>
      <c r="S70" s="565">
        <v>26427.99</v>
      </c>
      <c r="T70" s="564">
        <v>1714</v>
      </c>
      <c r="U70" s="565">
        <v>15.41889731621937</v>
      </c>
      <c r="V70" s="566">
        <v>1197</v>
      </c>
      <c r="W70" s="567">
        <v>0.3016336056009335</v>
      </c>
      <c r="X70" s="564">
        <v>865</v>
      </c>
      <c r="Y70" s="568">
        <v>0.27736006683375103</v>
      </c>
      <c r="Z70" s="586">
        <v>30.552589595375725</v>
      </c>
      <c r="AA70" s="564">
        <v>224</v>
      </c>
      <c r="AB70" s="569">
        <v>0.1871345029239766</v>
      </c>
      <c r="AC70" s="571">
        <v>117.98209821428573</v>
      </c>
      <c r="AD70" s="563" t="s">
        <v>123</v>
      </c>
      <c r="AE70" s="564" t="s">
        <v>123</v>
      </c>
      <c r="AF70" s="565" t="s">
        <v>123</v>
      </c>
      <c r="AG70" s="566" t="s">
        <v>123</v>
      </c>
      <c r="AH70" s="567" t="s">
        <v>123</v>
      </c>
      <c r="AI70" s="564" t="s">
        <v>123</v>
      </c>
      <c r="AJ70" s="568" t="s">
        <v>123</v>
      </c>
      <c r="AK70" s="586" t="s">
        <v>123</v>
      </c>
      <c r="AL70" s="591" t="s">
        <v>123</v>
      </c>
      <c r="AM70" s="569" t="s">
        <v>123</v>
      </c>
      <c r="AN70" s="570" t="s">
        <v>123</v>
      </c>
      <c r="AO70" s="569"/>
      <c r="AP70" s="587"/>
      <c r="AQ70" s="576"/>
      <c r="AR70" s="588"/>
      <c r="AS70" s="578"/>
      <c r="AT70" s="579"/>
      <c r="AU70" s="580"/>
    </row>
    <row r="71" spans="1:47" ht="49.95" customHeight="1">
      <c r="C71" s="758" t="s">
        <v>221</v>
      </c>
      <c r="D71" s="541"/>
      <c r="E71" s="541"/>
      <c r="F71" s="541"/>
      <c r="G71" s="542" t="s">
        <v>139</v>
      </c>
      <c r="H71" s="543">
        <v>70835</v>
      </c>
      <c r="I71" s="544">
        <v>6315</v>
      </c>
      <c r="J71" s="545">
        <v>11.216943784639748</v>
      </c>
      <c r="K71" s="546">
        <v>3382</v>
      </c>
      <c r="L71" s="547">
        <v>0.46444972288202691</v>
      </c>
      <c r="M71" s="544">
        <v>1987</v>
      </c>
      <c r="N71" s="548">
        <v>0.41247782377291542</v>
      </c>
      <c r="O71" s="549">
        <v>35.649219929542021</v>
      </c>
      <c r="P71" s="544">
        <v>642</v>
      </c>
      <c r="Q71" s="548">
        <v>0.18982850384387936</v>
      </c>
      <c r="R71" s="550">
        <v>110.33489096573209</v>
      </c>
      <c r="S71" s="545">
        <v>51347.33</v>
      </c>
      <c r="T71" s="544">
        <v>5377</v>
      </c>
      <c r="U71" s="545">
        <v>9.5494383485214804</v>
      </c>
      <c r="V71" s="546">
        <v>2519</v>
      </c>
      <c r="W71" s="547">
        <v>0.53152315417519058</v>
      </c>
      <c r="X71" s="544">
        <v>1359</v>
      </c>
      <c r="Y71" s="548">
        <v>0.46050019849146484</v>
      </c>
      <c r="Z71" s="549">
        <v>37.783171449595294</v>
      </c>
      <c r="AA71" s="544">
        <v>358</v>
      </c>
      <c r="AB71" s="548">
        <v>0.14211988884477966</v>
      </c>
      <c r="AC71" s="551">
        <v>143.42829608938547</v>
      </c>
      <c r="AD71" s="552">
        <v>19487.670000000002</v>
      </c>
      <c r="AE71" s="553">
        <v>938</v>
      </c>
      <c r="AF71" s="545">
        <v>20.77576759061834</v>
      </c>
      <c r="AG71" s="546">
        <v>863</v>
      </c>
      <c r="AH71" s="547">
        <v>7.9957356076759065E-2</v>
      </c>
      <c r="AI71" s="553">
        <v>628</v>
      </c>
      <c r="AJ71" s="548">
        <v>0.27230590961761297</v>
      </c>
      <c r="AK71" s="549">
        <v>31.031321656050959</v>
      </c>
      <c r="AL71" s="554">
        <v>284</v>
      </c>
      <c r="AM71" s="548">
        <v>0.32908458864426421</v>
      </c>
      <c r="AN71" s="550">
        <v>68.618556338028171</v>
      </c>
      <c r="AO71" s="548">
        <v>0.87219999999999998</v>
      </c>
      <c r="AP71" s="555">
        <v>0.76200000000000001</v>
      </c>
      <c r="AQ71" s="556">
        <v>0.78800000000000003</v>
      </c>
      <c r="AR71" s="557">
        <v>0.78720000000000001</v>
      </c>
      <c r="AS71" s="558">
        <v>2.4300000000000002</v>
      </c>
      <c r="AT71" s="589" t="s">
        <v>222</v>
      </c>
      <c r="AU71" s="589" t="s">
        <v>223</v>
      </c>
    </row>
    <row r="72" spans="1:47" ht="21" hidden="1" customHeight="1">
      <c r="A72" t="s">
        <v>224</v>
      </c>
      <c r="B72" t="s">
        <v>141</v>
      </c>
      <c r="C72" s="759"/>
      <c r="D72" s="561" t="s">
        <v>40</v>
      </c>
      <c r="E72" s="561" t="s">
        <v>142</v>
      </c>
      <c r="F72" s="561" t="s">
        <v>44</v>
      </c>
      <c r="G72" s="562" t="s">
        <v>42</v>
      </c>
      <c r="H72" s="563">
        <v>2515.9899999999998</v>
      </c>
      <c r="I72" s="564">
        <v>143</v>
      </c>
      <c r="J72" s="565">
        <v>17.594335664335663</v>
      </c>
      <c r="K72" s="566">
        <v>148</v>
      </c>
      <c r="L72" s="567">
        <v>-3.4965034965034968E-2</v>
      </c>
      <c r="M72" s="564">
        <v>106</v>
      </c>
      <c r="N72" s="568">
        <v>0.28378378378378377</v>
      </c>
      <c r="O72" s="565">
        <v>23.73575471698113</v>
      </c>
      <c r="P72" s="564">
        <v>54</v>
      </c>
      <c r="Q72" s="569">
        <v>0.36486486486486486</v>
      </c>
      <c r="R72" s="570">
        <v>46.5924074074074</v>
      </c>
      <c r="S72" s="565" t="s">
        <v>123</v>
      </c>
      <c r="T72" s="564" t="s">
        <v>123</v>
      </c>
      <c r="U72" s="565" t="s">
        <v>123</v>
      </c>
      <c r="V72" s="566" t="s">
        <v>123</v>
      </c>
      <c r="W72" s="567" t="s">
        <v>123</v>
      </c>
      <c r="X72" s="564" t="s">
        <v>123</v>
      </c>
      <c r="Y72" s="568" t="s">
        <v>123</v>
      </c>
      <c r="Z72" s="565" t="s">
        <v>123</v>
      </c>
      <c r="AA72" s="564" t="s">
        <v>123</v>
      </c>
      <c r="AB72" s="569" t="s">
        <v>123</v>
      </c>
      <c r="AC72" s="571" t="s">
        <v>123</v>
      </c>
      <c r="AD72" s="563">
        <v>2515.9899999999998</v>
      </c>
      <c r="AE72" s="564">
        <v>143</v>
      </c>
      <c r="AF72" s="565">
        <v>17.594335664335663</v>
      </c>
      <c r="AG72" s="566">
        <v>148</v>
      </c>
      <c r="AH72" s="567">
        <v>-3.4965034965034968E-2</v>
      </c>
      <c r="AI72" s="564">
        <v>106</v>
      </c>
      <c r="AJ72" s="568">
        <v>0.28378378378378377</v>
      </c>
      <c r="AK72" s="565">
        <v>23.73575471698113</v>
      </c>
      <c r="AL72" s="591">
        <v>54</v>
      </c>
      <c r="AM72" s="569">
        <v>0.36486486486486486</v>
      </c>
      <c r="AN72" s="570">
        <v>46.5924074074074</v>
      </c>
      <c r="AO72" s="569"/>
      <c r="AP72" s="575"/>
      <c r="AQ72" s="576"/>
      <c r="AR72" s="577"/>
      <c r="AS72" s="558">
        <v>2.4300000000000002</v>
      </c>
      <c r="AT72" s="579"/>
      <c r="AU72" s="580"/>
    </row>
    <row r="73" spans="1:47" ht="21" hidden="1" customHeight="1">
      <c r="A73" t="s">
        <v>225</v>
      </c>
      <c r="B73" t="s">
        <v>144</v>
      </c>
      <c r="C73" s="759"/>
      <c r="D73" s="561" t="s">
        <v>52</v>
      </c>
      <c r="E73" s="561" t="s">
        <v>145</v>
      </c>
      <c r="F73" s="561" t="s">
        <v>44</v>
      </c>
      <c r="G73" s="562" t="s">
        <v>42</v>
      </c>
      <c r="H73" s="563">
        <v>4348.93</v>
      </c>
      <c r="I73" s="564">
        <v>239</v>
      </c>
      <c r="J73" s="565">
        <v>18.196359832635984</v>
      </c>
      <c r="K73" s="566">
        <v>199</v>
      </c>
      <c r="L73" s="567">
        <v>0.16736401673640167</v>
      </c>
      <c r="M73" s="564">
        <v>147</v>
      </c>
      <c r="N73" s="568">
        <v>0.2613065326633166</v>
      </c>
      <c r="O73" s="565">
        <v>29.584557823129252</v>
      </c>
      <c r="P73" s="564">
        <v>65</v>
      </c>
      <c r="Q73" s="569">
        <v>0.32663316582914576</v>
      </c>
      <c r="R73" s="570">
        <v>66.906615384615392</v>
      </c>
      <c r="S73" s="565" t="s">
        <v>123</v>
      </c>
      <c r="T73" s="564" t="s">
        <v>123</v>
      </c>
      <c r="U73" s="565" t="s">
        <v>123</v>
      </c>
      <c r="V73" s="566" t="s">
        <v>123</v>
      </c>
      <c r="W73" s="567" t="s">
        <v>123</v>
      </c>
      <c r="X73" s="564" t="s">
        <v>123</v>
      </c>
      <c r="Y73" s="568" t="s">
        <v>123</v>
      </c>
      <c r="Z73" s="565" t="s">
        <v>123</v>
      </c>
      <c r="AA73" s="564" t="s">
        <v>123</v>
      </c>
      <c r="AB73" s="569" t="s">
        <v>123</v>
      </c>
      <c r="AC73" s="571" t="s">
        <v>123</v>
      </c>
      <c r="AD73" s="563">
        <v>4348.93</v>
      </c>
      <c r="AE73" s="564">
        <v>239</v>
      </c>
      <c r="AF73" s="565">
        <v>18.196359832635984</v>
      </c>
      <c r="AG73" s="566">
        <v>199</v>
      </c>
      <c r="AH73" s="567">
        <v>0.16736401673640167</v>
      </c>
      <c r="AI73" s="564">
        <v>147</v>
      </c>
      <c r="AJ73" s="568">
        <v>0.2613065326633166</v>
      </c>
      <c r="AK73" s="565">
        <v>29.584557823129252</v>
      </c>
      <c r="AL73" s="591">
        <v>65</v>
      </c>
      <c r="AM73" s="569">
        <v>0.32663316582914576</v>
      </c>
      <c r="AN73" s="570">
        <v>66.906615384615392</v>
      </c>
      <c r="AO73" s="569"/>
      <c r="AP73" s="575"/>
      <c r="AQ73" s="576"/>
      <c r="AR73" s="577"/>
      <c r="AS73" s="558">
        <v>2.4300000000000002</v>
      </c>
      <c r="AT73" s="579"/>
      <c r="AU73" s="580"/>
    </row>
    <row r="74" spans="1:47" ht="21" hidden="1" customHeight="1">
      <c r="A74" t="s">
        <v>226</v>
      </c>
      <c r="B74" t="s">
        <v>147</v>
      </c>
      <c r="C74" s="759"/>
      <c r="D74" s="561" t="s">
        <v>40</v>
      </c>
      <c r="E74" s="561" t="s">
        <v>57</v>
      </c>
      <c r="F74" s="561" t="s">
        <v>57</v>
      </c>
      <c r="G74" s="562" t="s">
        <v>42</v>
      </c>
      <c r="H74" s="563">
        <v>2415.86</v>
      </c>
      <c r="I74" s="564">
        <v>416</v>
      </c>
      <c r="J74" s="565">
        <v>5.8073557692307691</v>
      </c>
      <c r="K74" s="566">
        <v>126</v>
      </c>
      <c r="L74" s="567">
        <v>0.69711538461538458</v>
      </c>
      <c r="M74" s="564">
        <v>29</v>
      </c>
      <c r="N74" s="568">
        <v>0.76984126984126988</v>
      </c>
      <c r="O74" s="565">
        <v>83.30551724137932</v>
      </c>
      <c r="P74" s="564">
        <v>1</v>
      </c>
      <c r="Q74" s="569">
        <v>7.9365079365079361E-3</v>
      </c>
      <c r="R74" s="570">
        <v>2415.86</v>
      </c>
      <c r="S74" s="565">
        <v>2415.86</v>
      </c>
      <c r="T74" s="564">
        <v>416</v>
      </c>
      <c r="U74" s="565">
        <v>5.8073557692307691</v>
      </c>
      <c r="V74" s="566">
        <v>126</v>
      </c>
      <c r="W74" s="567">
        <v>0.69711538461538458</v>
      </c>
      <c r="X74" s="564">
        <v>29</v>
      </c>
      <c r="Y74" s="568">
        <v>0.76984126984126988</v>
      </c>
      <c r="Z74" s="565">
        <v>83.30551724137932</v>
      </c>
      <c r="AA74" s="564">
        <v>1</v>
      </c>
      <c r="AB74" s="569">
        <v>7.9365079365079361E-3</v>
      </c>
      <c r="AC74" s="571">
        <v>2415.86</v>
      </c>
      <c r="AD74" s="563" t="s">
        <v>123</v>
      </c>
      <c r="AE74" s="564" t="s">
        <v>123</v>
      </c>
      <c r="AF74" s="565" t="s">
        <v>123</v>
      </c>
      <c r="AG74" s="566" t="s">
        <v>123</v>
      </c>
      <c r="AH74" s="567" t="s">
        <v>123</v>
      </c>
      <c r="AI74" s="564" t="s">
        <v>123</v>
      </c>
      <c r="AJ74" s="568" t="s">
        <v>123</v>
      </c>
      <c r="AK74" s="565" t="s">
        <v>123</v>
      </c>
      <c r="AL74" s="591" t="s">
        <v>123</v>
      </c>
      <c r="AM74" s="569" t="s">
        <v>123</v>
      </c>
      <c r="AN74" s="570" t="s">
        <v>123</v>
      </c>
      <c r="AO74" s="569"/>
      <c r="AP74" s="575"/>
      <c r="AQ74" s="576"/>
      <c r="AR74" s="577"/>
      <c r="AS74" s="558">
        <v>2.4300000000000002</v>
      </c>
      <c r="AT74" s="579"/>
      <c r="AU74" s="580"/>
    </row>
    <row r="75" spans="1:47" ht="21" hidden="1" customHeight="1">
      <c r="A75" t="s">
        <v>227</v>
      </c>
      <c r="B75" t="s">
        <v>149</v>
      </c>
      <c r="C75" s="759"/>
      <c r="D75" s="561" t="s">
        <v>52</v>
      </c>
      <c r="E75" s="561" t="s">
        <v>121</v>
      </c>
      <c r="F75" s="561" t="s">
        <v>44</v>
      </c>
      <c r="G75" s="562" t="s">
        <v>42</v>
      </c>
      <c r="H75" s="563">
        <v>1722.1</v>
      </c>
      <c r="I75" s="564">
        <v>21</v>
      </c>
      <c r="J75" s="565">
        <v>82.004761904761907</v>
      </c>
      <c r="K75" s="566">
        <v>30</v>
      </c>
      <c r="L75" s="567">
        <v>-0.42857142857142855</v>
      </c>
      <c r="M75" s="564">
        <v>25</v>
      </c>
      <c r="N75" s="568">
        <v>0.16666666666666666</v>
      </c>
      <c r="O75" s="565">
        <v>68.884</v>
      </c>
      <c r="P75" s="564">
        <v>22</v>
      </c>
      <c r="Q75" s="569">
        <v>0.73333333333333328</v>
      </c>
      <c r="R75" s="570">
        <v>78.277272727272717</v>
      </c>
      <c r="S75" s="565" t="s">
        <v>123</v>
      </c>
      <c r="T75" s="564" t="s">
        <v>123</v>
      </c>
      <c r="U75" s="565" t="s">
        <v>123</v>
      </c>
      <c r="V75" s="566" t="s">
        <v>123</v>
      </c>
      <c r="W75" s="567" t="s">
        <v>123</v>
      </c>
      <c r="X75" s="564" t="s">
        <v>123</v>
      </c>
      <c r="Y75" s="568" t="s">
        <v>123</v>
      </c>
      <c r="Z75" s="565" t="s">
        <v>123</v>
      </c>
      <c r="AA75" s="564" t="s">
        <v>123</v>
      </c>
      <c r="AB75" s="569" t="s">
        <v>123</v>
      </c>
      <c r="AC75" s="571" t="s">
        <v>123</v>
      </c>
      <c r="AD75" s="563">
        <v>1722.1</v>
      </c>
      <c r="AE75" s="564">
        <v>21</v>
      </c>
      <c r="AF75" s="565">
        <v>82.004761904761907</v>
      </c>
      <c r="AG75" s="566">
        <v>30</v>
      </c>
      <c r="AH75" s="567">
        <v>-0.42857142857142855</v>
      </c>
      <c r="AI75" s="564">
        <v>25</v>
      </c>
      <c r="AJ75" s="568">
        <v>0.16666666666666666</v>
      </c>
      <c r="AK75" s="565">
        <v>68.884</v>
      </c>
      <c r="AL75" s="591">
        <v>22</v>
      </c>
      <c r="AM75" s="569">
        <v>0.73333333333333328</v>
      </c>
      <c r="AN75" s="570">
        <v>78.277272727272717</v>
      </c>
      <c r="AO75" s="569"/>
      <c r="AP75" s="575"/>
      <c r="AQ75" s="576"/>
      <c r="AR75" s="577"/>
      <c r="AS75" s="558">
        <v>2.4300000000000002</v>
      </c>
      <c r="AT75" s="579"/>
      <c r="AU75" s="580"/>
    </row>
    <row r="76" spans="1:47" ht="21" hidden="1" customHeight="1">
      <c r="A76" t="s">
        <v>228</v>
      </c>
      <c r="B76" t="s">
        <v>151</v>
      </c>
      <c r="C76" s="759"/>
      <c r="D76" s="561" t="s">
        <v>40</v>
      </c>
      <c r="E76" s="561" t="s">
        <v>142</v>
      </c>
      <c r="F76" s="561" t="s">
        <v>44</v>
      </c>
      <c r="G76" s="562" t="s">
        <v>60</v>
      </c>
      <c r="H76" s="563">
        <v>2913.53</v>
      </c>
      <c r="I76" s="564">
        <v>193</v>
      </c>
      <c r="J76" s="565">
        <v>15.096010362694301</v>
      </c>
      <c r="K76" s="566">
        <v>187</v>
      </c>
      <c r="L76" s="567">
        <v>3.1088082901554404E-2</v>
      </c>
      <c r="M76" s="564">
        <v>124</v>
      </c>
      <c r="N76" s="568">
        <v>0.33689839572192515</v>
      </c>
      <c r="O76" s="565">
        <v>23.496209677419355</v>
      </c>
      <c r="P76" s="564">
        <v>47</v>
      </c>
      <c r="Q76" s="569">
        <v>0.25133689839572193</v>
      </c>
      <c r="R76" s="570">
        <v>61.99</v>
      </c>
      <c r="S76" s="565" t="s">
        <v>123</v>
      </c>
      <c r="T76" s="564" t="s">
        <v>123</v>
      </c>
      <c r="U76" s="565" t="s">
        <v>123</v>
      </c>
      <c r="V76" s="566" t="s">
        <v>123</v>
      </c>
      <c r="W76" s="567" t="s">
        <v>123</v>
      </c>
      <c r="X76" s="564" t="s">
        <v>123</v>
      </c>
      <c r="Y76" s="568" t="s">
        <v>123</v>
      </c>
      <c r="Z76" s="565" t="s">
        <v>123</v>
      </c>
      <c r="AA76" s="564" t="s">
        <v>123</v>
      </c>
      <c r="AB76" s="569" t="s">
        <v>123</v>
      </c>
      <c r="AC76" s="571" t="s">
        <v>123</v>
      </c>
      <c r="AD76" s="563">
        <v>2913.53</v>
      </c>
      <c r="AE76" s="564">
        <v>193</v>
      </c>
      <c r="AF76" s="565">
        <v>15.096010362694301</v>
      </c>
      <c r="AG76" s="566">
        <v>187</v>
      </c>
      <c r="AH76" s="567">
        <v>3.1088082901554404E-2</v>
      </c>
      <c r="AI76" s="564">
        <v>124</v>
      </c>
      <c r="AJ76" s="568">
        <v>0.33689839572192515</v>
      </c>
      <c r="AK76" s="565">
        <v>23.496209677419355</v>
      </c>
      <c r="AL76" s="591">
        <v>47</v>
      </c>
      <c r="AM76" s="569">
        <v>0.25133689839572193</v>
      </c>
      <c r="AN76" s="570">
        <v>61.99</v>
      </c>
      <c r="AO76" s="569"/>
      <c r="AP76" s="575"/>
      <c r="AQ76" s="576"/>
      <c r="AR76" s="577"/>
      <c r="AS76" s="558">
        <v>2.4300000000000002</v>
      </c>
      <c r="AT76" s="579"/>
      <c r="AU76" s="580"/>
    </row>
    <row r="77" spans="1:47" ht="21" hidden="1" customHeight="1">
      <c r="A77" t="s">
        <v>229</v>
      </c>
      <c r="B77" t="s">
        <v>153</v>
      </c>
      <c r="C77" s="759"/>
      <c r="D77" s="561" t="s">
        <v>52</v>
      </c>
      <c r="E77" s="561" t="s">
        <v>145</v>
      </c>
      <c r="F77" s="561" t="s">
        <v>44</v>
      </c>
      <c r="G77" s="562" t="s">
        <v>60</v>
      </c>
      <c r="H77" s="563">
        <v>7987.12</v>
      </c>
      <c r="I77" s="564">
        <v>342</v>
      </c>
      <c r="J77" s="565">
        <v>23.354152046783625</v>
      </c>
      <c r="K77" s="566">
        <v>299</v>
      </c>
      <c r="L77" s="567">
        <v>0.12573099415204678</v>
      </c>
      <c r="M77" s="564">
        <v>226</v>
      </c>
      <c r="N77" s="568">
        <v>0.24414715719063546</v>
      </c>
      <c r="O77" s="565">
        <v>35.341238938053095</v>
      </c>
      <c r="P77" s="564">
        <v>96</v>
      </c>
      <c r="Q77" s="569">
        <v>0.32107023411371238</v>
      </c>
      <c r="R77" s="570">
        <v>83.19916666666667</v>
      </c>
      <c r="S77" s="565" t="s">
        <v>123</v>
      </c>
      <c r="T77" s="564" t="s">
        <v>123</v>
      </c>
      <c r="U77" s="565" t="s">
        <v>123</v>
      </c>
      <c r="V77" s="566" t="s">
        <v>123</v>
      </c>
      <c r="W77" s="567" t="s">
        <v>123</v>
      </c>
      <c r="X77" s="564" t="s">
        <v>123</v>
      </c>
      <c r="Y77" s="568" t="s">
        <v>123</v>
      </c>
      <c r="Z77" s="565" t="s">
        <v>123</v>
      </c>
      <c r="AA77" s="564" t="s">
        <v>123</v>
      </c>
      <c r="AB77" s="569" t="s">
        <v>123</v>
      </c>
      <c r="AC77" s="571" t="s">
        <v>123</v>
      </c>
      <c r="AD77" s="563">
        <v>7987.12</v>
      </c>
      <c r="AE77" s="564">
        <v>342</v>
      </c>
      <c r="AF77" s="565">
        <v>23.354152046783625</v>
      </c>
      <c r="AG77" s="566">
        <v>299</v>
      </c>
      <c r="AH77" s="567">
        <v>0.12573099415204678</v>
      </c>
      <c r="AI77" s="564">
        <v>226</v>
      </c>
      <c r="AJ77" s="568">
        <v>0.24414715719063546</v>
      </c>
      <c r="AK77" s="565">
        <v>35.341238938053095</v>
      </c>
      <c r="AL77" s="591">
        <v>96</v>
      </c>
      <c r="AM77" s="569">
        <v>0.32107023411371238</v>
      </c>
      <c r="AN77" s="570">
        <v>83.19916666666667</v>
      </c>
      <c r="AO77" s="569"/>
      <c r="AP77" s="575"/>
      <c r="AQ77" s="576"/>
      <c r="AR77" s="577"/>
      <c r="AS77" s="558">
        <v>2.4300000000000002</v>
      </c>
      <c r="AT77" s="579"/>
      <c r="AU77" s="580"/>
    </row>
    <row r="78" spans="1:47" ht="21" hidden="1" customHeight="1">
      <c r="A78" t="s">
        <v>230</v>
      </c>
      <c r="B78" t="s">
        <v>155</v>
      </c>
      <c r="C78" s="760"/>
      <c r="D78" s="561" t="s">
        <v>40</v>
      </c>
      <c r="E78" s="561" t="s">
        <v>57</v>
      </c>
      <c r="F78" s="561" t="s">
        <v>57</v>
      </c>
      <c r="G78" s="562" t="s">
        <v>60</v>
      </c>
      <c r="H78" s="563">
        <v>48931.47</v>
      </c>
      <c r="I78" s="581">
        <v>4961</v>
      </c>
      <c r="J78" s="582">
        <v>9.8632271719411406</v>
      </c>
      <c r="K78" s="566">
        <v>2393</v>
      </c>
      <c r="L78" s="567">
        <v>0.51763757306994562</v>
      </c>
      <c r="M78" s="564">
        <v>1330</v>
      </c>
      <c r="N78" s="568">
        <v>0.44421228583368155</v>
      </c>
      <c r="O78" s="586">
        <v>36.790578947368424</v>
      </c>
      <c r="P78" s="564">
        <v>357</v>
      </c>
      <c r="Q78" s="569">
        <v>0.14918512327622233</v>
      </c>
      <c r="R78" s="570">
        <v>137.06294117647059</v>
      </c>
      <c r="S78" s="565">
        <v>48931.47</v>
      </c>
      <c r="T78" s="564">
        <v>4961</v>
      </c>
      <c r="U78" s="565">
        <v>9.8632271719411406</v>
      </c>
      <c r="V78" s="566">
        <v>2393</v>
      </c>
      <c r="W78" s="567">
        <v>0.51763757306994562</v>
      </c>
      <c r="X78" s="564">
        <v>1330</v>
      </c>
      <c r="Y78" s="568">
        <v>0.44421228583368155</v>
      </c>
      <c r="Z78" s="586">
        <v>36.790578947368424</v>
      </c>
      <c r="AA78" s="564">
        <v>357</v>
      </c>
      <c r="AB78" s="569">
        <v>0.14918512327622233</v>
      </c>
      <c r="AC78" s="571">
        <v>137.06294117647059</v>
      </c>
      <c r="AD78" s="563" t="s">
        <v>123</v>
      </c>
      <c r="AE78" s="564" t="s">
        <v>123</v>
      </c>
      <c r="AF78" s="565" t="s">
        <v>123</v>
      </c>
      <c r="AG78" s="566" t="s">
        <v>123</v>
      </c>
      <c r="AH78" s="567" t="s">
        <v>123</v>
      </c>
      <c r="AI78" s="564" t="s">
        <v>123</v>
      </c>
      <c r="AJ78" s="568" t="s">
        <v>123</v>
      </c>
      <c r="AK78" s="586" t="s">
        <v>123</v>
      </c>
      <c r="AL78" s="591" t="s">
        <v>123</v>
      </c>
      <c r="AM78" s="569" t="s">
        <v>123</v>
      </c>
      <c r="AN78" s="570" t="s">
        <v>123</v>
      </c>
      <c r="AO78" s="569"/>
      <c r="AP78" s="587"/>
      <c r="AQ78" s="576"/>
      <c r="AR78" s="588"/>
      <c r="AS78" s="558">
        <v>2.4300000000000002</v>
      </c>
      <c r="AT78" s="579"/>
      <c r="AU78" s="580"/>
    </row>
    <row r="79" spans="1:47" ht="49.95" customHeight="1">
      <c r="C79" s="758" t="s">
        <v>231</v>
      </c>
      <c r="D79" s="541"/>
      <c r="E79" s="541"/>
      <c r="F79" s="541"/>
      <c r="G79" s="542" t="s">
        <v>139</v>
      </c>
      <c r="H79" s="543">
        <v>109612.3</v>
      </c>
      <c r="I79" s="544">
        <v>11069</v>
      </c>
      <c r="J79" s="545">
        <v>9.9026379980124677</v>
      </c>
      <c r="K79" s="546">
        <v>5941</v>
      </c>
      <c r="L79" s="547">
        <v>0.46327581534013912</v>
      </c>
      <c r="M79" s="544">
        <v>3319</v>
      </c>
      <c r="N79" s="548">
        <v>0.44133984177747854</v>
      </c>
      <c r="O79" s="549">
        <v>33.025700512202469</v>
      </c>
      <c r="P79" s="544">
        <v>998</v>
      </c>
      <c r="Q79" s="548">
        <v>0.16798518767884194</v>
      </c>
      <c r="R79" s="550">
        <v>109.83196392785571</v>
      </c>
      <c r="S79" s="545">
        <v>86958</v>
      </c>
      <c r="T79" s="544">
        <v>9913</v>
      </c>
      <c r="U79" s="545">
        <v>8.7721174215676392</v>
      </c>
      <c r="V79" s="546">
        <v>4893</v>
      </c>
      <c r="W79" s="547">
        <v>0.50640572984969234</v>
      </c>
      <c r="X79" s="544">
        <v>2527</v>
      </c>
      <c r="Y79" s="548">
        <v>0.48354792560801146</v>
      </c>
      <c r="Z79" s="549">
        <v>34.411555203798969</v>
      </c>
      <c r="AA79" s="544">
        <v>691</v>
      </c>
      <c r="AB79" s="548">
        <v>0.14122215409769057</v>
      </c>
      <c r="AC79" s="551">
        <v>125.84370477568741</v>
      </c>
      <c r="AD79" s="552">
        <v>22654.3</v>
      </c>
      <c r="AE79" s="553">
        <v>1156</v>
      </c>
      <c r="AF79" s="545">
        <v>19.597145328719723</v>
      </c>
      <c r="AG79" s="546">
        <v>1048</v>
      </c>
      <c r="AH79" s="547">
        <v>9.3425605536332182E-2</v>
      </c>
      <c r="AI79" s="553">
        <v>792</v>
      </c>
      <c r="AJ79" s="548">
        <v>0.24427480916030533</v>
      </c>
      <c r="AK79" s="549">
        <v>28.60391414141414</v>
      </c>
      <c r="AL79" s="554">
        <v>307</v>
      </c>
      <c r="AM79" s="548">
        <v>0.29293893129770993</v>
      </c>
      <c r="AN79" s="550">
        <v>73.792508143322479</v>
      </c>
      <c r="AO79" s="548">
        <v>0.8861</v>
      </c>
      <c r="AP79" s="555">
        <v>0.79310000000000003</v>
      </c>
      <c r="AQ79" s="556">
        <v>0.81950000000000001</v>
      </c>
      <c r="AR79" s="557">
        <v>0.8327</v>
      </c>
      <c r="AS79" s="558">
        <v>2.48</v>
      </c>
      <c r="AT79" s="583" t="s">
        <v>232</v>
      </c>
      <c r="AU79" s="580"/>
    </row>
    <row r="80" spans="1:47" ht="21" hidden="1" customHeight="1">
      <c r="A80" t="s">
        <v>233</v>
      </c>
      <c r="B80" t="s">
        <v>141</v>
      </c>
      <c r="C80" s="759"/>
      <c r="D80" s="561" t="s">
        <v>40</v>
      </c>
      <c r="E80" s="561" t="s">
        <v>142</v>
      </c>
      <c r="F80" s="561" t="s">
        <v>44</v>
      </c>
      <c r="G80" s="562" t="s">
        <v>42</v>
      </c>
      <c r="H80" s="563">
        <v>1354.5</v>
      </c>
      <c r="I80" s="564">
        <v>159</v>
      </c>
      <c r="J80" s="565">
        <v>8.5188679245283012</v>
      </c>
      <c r="K80" s="566">
        <v>148</v>
      </c>
      <c r="L80" s="567">
        <v>6.9182389937106917E-2</v>
      </c>
      <c r="M80" s="564">
        <v>112</v>
      </c>
      <c r="N80" s="568">
        <v>0.24324324324324326</v>
      </c>
      <c r="O80" s="565">
        <v>12.09375</v>
      </c>
      <c r="P80" s="564">
        <v>53</v>
      </c>
      <c r="Q80" s="569">
        <v>0.35810810810810811</v>
      </c>
      <c r="R80" s="570">
        <v>25.556603773584907</v>
      </c>
      <c r="S80" s="565" t="s">
        <v>123</v>
      </c>
      <c r="T80" s="564" t="s">
        <v>123</v>
      </c>
      <c r="U80" s="565" t="s">
        <v>123</v>
      </c>
      <c r="V80" s="566" t="s">
        <v>123</v>
      </c>
      <c r="W80" s="567" t="s">
        <v>123</v>
      </c>
      <c r="X80" s="564" t="s">
        <v>123</v>
      </c>
      <c r="Y80" s="568" t="s">
        <v>123</v>
      </c>
      <c r="Z80" s="565" t="s">
        <v>123</v>
      </c>
      <c r="AA80" s="564" t="s">
        <v>123</v>
      </c>
      <c r="AB80" s="569" t="s">
        <v>123</v>
      </c>
      <c r="AC80" s="571" t="s">
        <v>123</v>
      </c>
      <c r="AD80" s="563">
        <v>1354.5</v>
      </c>
      <c r="AE80" s="564">
        <v>159</v>
      </c>
      <c r="AF80" s="565">
        <v>8.5188679245283012</v>
      </c>
      <c r="AG80" s="566">
        <v>148</v>
      </c>
      <c r="AH80" s="567">
        <v>6.9182389937106917E-2</v>
      </c>
      <c r="AI80" s="564">
        <v>112</v>
      </c>
      <c r="AJ80" s="568">
        <v>0.24324324324324326</v>
      </c>
      <c r="AK80" s="565">
        <v>12.09375</v>
      </c>
      <c r="AL80" s="574">
        <v>53</v>
      </c>
      <c r="AM80" s="569">
        <v>0.35810810810810811</v>
      </c>
      <c r="AN80" s="570">
        <v>25.556603773584907</v>
      </c>
      <c r="AO80" s="569"/>
      <c r="AP80" s="575"/>
      <c r="AQ80" s="576"/>
      <c r="AR80" s="577"/>
      <c r="AS80" s="578"/>
      <c r="AT80" s="579"/>
      <c r="AU80" s="580"/>
    </row>
    <row r="81" spans="1:47" ht="21" hidden="1" customHeight="1">
      <c r="A81" t="s">
        <v>234</v>
      </c>
      <c r="B81" t="s">
        <v>144</v>
      </c>
      <c r="C81" s="759"/>
      <c r="D81" s="561" t="s">
        <v>52</v>
      </c>
      <c r="E81" s="561" t="s">
        <v>145</v>
      </c>
      <c r="F81" s="561" t="s">
        <v>44</v>
      </c>
      <c r="G81" s="562" t="s">
        <v>42</v>
      </c>
      <c r="H81" s="563">
        <v>3468.42</v>
      </c>
      <c r="I81" s="564">
        <v>290</v>
      </c>
      <c r="J81" s="565">
        <v>11.960068965517241</v>
      </c>
      <c r="K81" s="566">
        <v>251</v>
      </c>
      <c r="L81" s="567">
        <v>0.13448275862068965</v>
      </c>
      <c r="M81" s="564">
        <v>183</v>
      </c>
      <c r="N81" s="568">
        <v>0.27091633466135456</v>
      </c>
      <c r="O81" s="565">
        <v>18.953114754098362</v>
      </c>
      <c r="P81" s="564">
        <v>69</v>
      </c>
      <c r="Q81" s="569">
        <v>0.27490039840637448</v>
      </c>
      <c r="R81" s="570">
        <v>50.266956521739132</v>
      </c>
      <c r="S81" s="565" t="s">
        <v>123</v>
      </c>
      <c r="T81" s="564" t="s">
        <v>123</v>
      </c>
      <c r="U81" s="565" t="s">
        <v>123</v>
      </c>
      <c r="V81" s="566" t="s">
        <v>123</v>
      </c>
      <c r="W81" s="567" t="s">
        <v>123</v>
      </c>
      <c r="X81" s="564" t="s">
        <v>123</v>
      </c>
      <c r="Y81" s="568" t="s">
        <v>123</v>
      </c>
      <c r="Z81" s="565" t="s">
        <v>123</v>
      </c>
      <c r="AA81" s="564" t="s">
        <v>123</v>
      </c>
      <c r="AB81" s="569" t="s">
        <v>123</v>
      </c>
      <c r="AC81" s="571" t="s">
        <v>123</v>
      </c>
      <c r="AD81" s="563">
        <v>3468.42</v>
      </c>
      <c r="AE81" s="564">
        <v>290</v>
      </c>
      <c r="AF81" s="565">
        <v>11.960068965517241</v>
      </c>
      <c r="AG81" s="566">
        <v>251</v>
      </c>
      <c r="AH81" s="567">
        <v>0.13448275862068965</v>
      </c>
      <c r="AI81" s="564">
        <v>183</v>
      </c>
      <c r="AJ81" s="568">
        <v>0.27091633466135456</v>
      </c>
      <c r="AK81" s="565">
        <v>18.953114754098362</v>
      </c>
      <c r="AL81" s="574">
        <v>69</v>
      </c>
      <c r="AM81" s="569">
        <v>0.27490039840637448</v>
      </c>
      <c r="AN81" s="570">
        <v>50.266956521739132</v>
      </c>
      <c r="AO81" s="569"/>
      <c r="AP81" s="575"/>
      <c r="AQ81" s="576"/>
      <c r="AR81" s="577"/>
      <c r="AS81" s="578"/>
      <c r="AT81" s="579"/>
      <c r="AU81" s="580"/>
    </row>
    <row r="82" spans="1:47" ht="21" hidden="1" customHeight="1">
      <c r="A82" t="s">
        <v>235</v>
      </c>
      <c r="B82" t="s">
        <v>147</v>
      </c>
      <c r="C82" s="759"/>
      <c r="D82" s="561" t="s">
        <v>40</v>
      </c>
      <c r="E82" s="561" t="s">
        <v>57</v>
      </c>
      <c r="F82" s="561" t="s">
        <v>57</v>
      </c>
      <c r="G82" s="562" t="s">
        <v>42</v>
      </c>
      <c r="H82" s="563">
        <v>1872.8</v>
      </c>
      <c r="I82" s="564">
        <v>233</v>
      </c>
      <c r="J82" s="565">
        <v>8.0377682403433468</v>
      </c>
      <c r="K82" s="566">
        <v>71</v>
      </c>
      <c r="L82" s="567">
        <v>0.69527896995708149</v>
      </c>
      <c r="M82" s="564">
        <v>12</v>
      </c>
      <c r="N82" s="568">
        <v>0.83098591549295775</v>
      </c>
      <c r="O82" s="565">
        <v>156.06666666666666</v>
      </c>
      <c r="P82" s="564">
        <v>2</v>
      </c>
      <c r="Q82" s="569">
        <v>2.8169014084507043E-2</v>
      </c>
      <c r="R82" s="570">
        <v>936.4</v>
      </c>
      <c r="S82" s="565">
        <v>1872.8</v>
      </c>
      <c r="T82" s="564">
        <v>233</v>
      </c>
      <c r="U82" s="565">
        <v>8.0377682403433468</v>
      </c>
      <c r="V82" s="566">
        <v>71</v>
      </c>
      <c r="W82" s="567">
        <v>0.69527896995708149</v>
      </c>
      <c r="X82" s="564">
        <v>12</v>
      </c>
      <c r="Y82" s="568">
        <v>0.83098591549295775</v>
      </c>
      <c r="Z82" s="565">
        <v>156.06666666666666</v>
      </c>
      <c r="AA82" s="564">
        <v>2</v>
      </c>
      <c r="AB82" s="569">
        <v>2.8169014084507043E-2</v>
      </c>
      <c r="AC82" s="571">
        <v>936.4</v>
      </c>
      <c r="AD82" s="563" t="s">
        <v>123</v>
      </c>
      <c r="AE82" s="564" t="s">
        <v>123</v>
      </c>
      <c r="AF82" s="565" t="s">
        <v>123</v>
      </c>
      <c r="AG82" s="566" t="s">
        <v>123</v>
      </c>
      <c r="AH82" s="567" t="s">
        <v>123</v>
      </c>
      <c r="AI82" s="564" t="s">
        <v>123</v>
      </c>
      <c r="AJ82" s="568" t="s">
        <v>123</v>
      </c>
      <c r="AK82" s="565" t="s">
        <v>123</v>
      </c>
      <c r="AL82" s="574" t="s">
        <v>123</v>
      </c>
      <c r="AM82" s="569" t="s">
        <v>123</v>
      </c>
      <c r="AN82" s="570" t="s">
        <v>123</v>
      </c>
      <c r="AO82" s="569"/>
      <c r="AP82" s="575"/>
      <c r="AQ82" s="576"/>
      <c r="AR82" s="577"/>
      <c r="AS82" s="578"/>
      <c r="AT82" s="579"/>
      <c r="AU82" s="580"/>
    </row>
    <row r="83" spans="1:47" ht="21" hidden="1" customHeight="1">
      <c r="A83" t="s">
        <v>236</v>
      </c>
      <c r="B83" t="s">
        <v>149</v>
      </c>
      <c r="C83" s="759"/>
      <c r="D83" s="561" t="s">
        <v>52</v>
      </c>
      <c r="E83" s="561" t="s">
        <v>121</v>
      </c>
      <c r="F83" s="561" t="s">
        <v>44</v>
      </c>
      <c r="G83" s="562" t="s">
        <v>42</v>
      </c>
      <c r="H83" s="563">
        <v>1381.73</v>
      </c>
      <c r="I83" s="564">
        <v>22</v>
      </c>
      <c r="J83" s="565">
        <v>62.80590909090909</v>
      </c>
      <c r="K83" s="566">
        <v>28</v>
      </c>
      <c r="L83" s="567">
        <v>-0.27272727272727271</v>
      </c>
      <c r="M83" s="564">
        <v>27</v>
      </c>
      <c r="N83" s="568">
        <v>3.5714285714285712E-2</v>
      </c>
      <c r="O83" s="565">
        <v>51.175185185185185</v>
      </c>
      <c r="P83" s="564">
        <v>14</v>
      </c>
      <c r="Q83" s="569">
        <v>0.5</v>
      </c>
      <c r="R83" s="570">
        <v>98.695000000000007</v>
      </c>
      <c r="S83" s="565" t="s">
        <v>123</v>
      </c>
      <c r="T83" s="564" t="s">
        <v>123</v>
      </c>
      <c r="U83" s="565" t="s">
        <v>123</v>
      </c>
      <c r="V83" s="566" t="s">
        <v>123</v>
      </c>
      <c r="W83" s="567" t="s">
        <v>123</v>
      </c>
      <c r="X83" s="564" t="s">
        <v>123</v>
      </c>
      <c r="Y83" s="568" t="s">
        <v>123</v>
      </c>
      <c r="Z83" s="565" t="s">
        <v>123</v>
      </c>
      <c r="AA83" s="564" t="s">
        <v>123</v>
      </c>
      <c r="AB83" s="569" t="s">
        <v>123</v>
      </c>
      <c r="AC83" s="571" t="s">
        <v>123</v>
      </c>
      <c r="AD83" s="563">
        <v>1381.73</v>
      </c>
      <c r="AE83" s="564">
        <v>22</v>
      </c>
      <c r="AF83" s="565">
        <v>62.80590909090909</v>
      </c>
      <c r="AG83" s="566">
        <v>28</v>
      </c>
      <c r="AH83" s="567">
        <v>-0.27272727272727271</v>
      </c>
      <c r="AI83" s="564">
        <v>27</v>
      </c>
      <c r="AJ83" s="568">
        <v>3.5714285714285712E-2</v>
      </c>
      <c r="AK83" s="565">
        <v>51.175185185185185</v>
      </c>
      <c r="AL83" s="574">
        <v>14</v>
      </c>
      <c r="AM83" s="569">
        <v>0.5</v>
      </c>
      <c r="AN83" s="570">
        <v>98.695000000000007</v>
      </c>
      <c r="AO83" s="569"/>
      <c r="AP83" s="575"/>
      <c r="AQ83" s="576"/>
      <c r="AR83" s="577"/>
      <c r="AS83" s="578"/>
      <c r="AT83" s="579"/>
      <c r="AU83" s="580"/>
    </row>
    <row r="84" spans="1:47" ht="21" hidden="1" customHeight="1">
      <c r="A84" t="s">
        <v>237</v>
      </c>
      <c r="B84" t="s">
        <v>151</v>
      </c>
      <c r="C84" s="759"/>
      <c r="D84" s="561" t="s">
        <v>40</v>
      </c>
      <c r="E84" s="561" t="s">
        <v>142</v>
      </c>
      <c r="F84" s="561" t="s">
        <v>44</v>
      </c>
      <c r="G84" s="562" t="s">
        <v>60</v>
      </c>
      <c r="H84" s="563">
        <v>6968.61</v>
      </c>
      <c r="I84" s="564">
        <v>289</v>
      </c>
      <c r="J84" s="565">
        <v>24.112837370242215</v>
      </c>
      <c r="K84" s="566">
        <v>272</v>
      </c>
      <c r="L84" s="567">
        <v>5.8823529411764705E-2</v>
      </c>
      <c r="M84" s="564">
        <v>206</v>
      </c>
      <c r="N84" s="568">
        <v>0.24264705882352941</v>
      </c>
      <c r="O84" s="565">
        <v>33.828203883495142</v>
      </c>
      <c r="P84" s="564">
        <v>82</v>
      </c>
      <c r="Q84" s="569">
        <v>0.3014705882352941</v>
      </c>
      <c r="R84" s="570">
        <v>84.983048780487806</v>
      </c>
      <c r="S84" s="565" t="s">
        <v>123</v>
      </c>
      <c r="T84" s="564" t="s">
        <v>123</v>
      </c>
      <c r="U84" s="565" t="s">
        <v>123</v>
      </c>
      <c r="V84" s="566" t="s">
        <v>123</v>
      </c>
      <c r="W84" s="567" t="s">
        <v>123</v>
      </c>
      <c r="X84" s="564" t="s">
        <v>123</v>
      </c>
      <c r="Y84" s="568" t="s">
        <v>123</v>
      </c>
      <c r="Z84" s="565" t="s">
        <v>123</v>
      </c>
      <c r="AA84" s="564" t="s">
        <v>123</v>
      </c>
      <c r="AB84" s="569" t="s">
        <v>123</v>
      </c>
      <c r="AC84" s="571" t="s">
        <v>123</v>
      </c>
      <c r="AD84" s="563">
        <v>6968.61</v>
      </c>
      <c r="AE84" s="564">
        <v>289</v>
      </c>
      <c r="AF84" s="565">
        <v>24.112837370242215</v>
      </c>
      <c r="AG84" s="566">
        <v>272</v>
      </c>
      <c r="AH84" s="567">
        <v>5.8823529411764705E-2</v>
      </c>
      <c r="AI84" s="564">
        <v>206</v>
      </c>
      <c r="AJ84" s="568">
        <v>0.24264705882352941</v>
      </c>
      <c r="AK84" s="565">
        <v>33.828203883495142</v>
      </c>
      <c r="AL84" s="574">
        <v>82</v>
      </c>
      <c r="AM84" s="569">
        <v>0.3014705882352941</v>
      </c>
      <c r="AN84" s="570">
        <v>84.983048780487806</v>
      </c>
      <c r="AO84" s="569"/>
      <c r="AP84" s="575"/>
      <c r="AQ84" s="576"/>
      <c r="AR84" s="577"/>
      <c r="AS84" s="578"/>
      <c r="AT84" s="579"/>
      <c r="AU84" s="580"/>
    </row>
    <row r="85" spans="1:47" ht="21" hidden="1" customHeight="1">
      <c r="A85" t="s">
        <v>238</v>
      </c>
      <c r="B85" t="s">
        <v>153</v>
      </c>
      <c r="C85" s="759"/>
      <c r="D85" s="561" t="s">
        <v>52</v>
      </c>
      <c r="E85" s="561" t="s">
        <v>145</v>
      </c>
      <c r="F85" s="561" t="s">
        <v>44</v>
      </c>
      <c r="G85" s="562" t="s">
        <v>60</v>
      </c>
      <c r="H85" s="563">
        <v>9481.0400000000009</v>
      </c>
      <c r="I85" s="564">
        <v>396</v>
      </c>
      <c r="J85" s="565">
        <v>23.942020202020203</v>
      </c>
      <c r="K85" s="566">
        <v>349</v>
      </c>
      <c r="L85" s="567">
        <v>0.11868686868686869</v>
      </c>
      <c r="M85" s="564">
        <v>264</v>
      </c>
      <c r="N85" s="568">
        <v>0.24355300859598855</v>
      </c>
      <c r="O85" s="565">
        <v>35.913030303030304</v>
      </c>
      <c r="P85" s="564">
        <v>89</v>
      </c>
      <c r="Q85" s="569">
        <v>0.25501432664756446</v>
      </c>
      <c r="R85" s="570">
        <v>106.5285393258427</v>
      </c>
      <c r="S85" s="565" t="s">
        <v>123</v>
      </c>
      <c r="T85" s="564" t="s">
        <v>123</v>
      </c>
      <c r="U85" s="565" t="s">
        <v>123</v>
      </c>
      <c r="V85" s="566" t="s">
        <v>123</v>
      </c>
      <c r="W85" s="567" t="s">
        <v>123</v>
      </c>
      <c r="X85" s="564" t="s">
        <v>123</v>
      </c>
      <c r="Y85" s="568" t="s">
        <v>123</v>
      </c>
      <c r="Z85" s="565" t="s">
        <v>123</v>
      </c>
      <c r="AA85" s="564" t="s">
        <v>123</v>
      </c>
      <c r="AB85" s="569" t="s">
        <v>123</v>
      </c>
      <c r="AC85" s="571" t="s">
        <v>123</v>
      </c>
      <c r="AD85" s="563">
        <v>9481.0400000000009</v>
      </c>
      <c r="AE85" s="564">
        <v>396</v>
      </c>
      <c r="AF85" s="565">
        <v>23.942020202020203</v>
      </c>
      <c r="AG85" s="566">
        <v>349</v>
      </c>
      <c r="AH85" s="567">
        <v>0.11868686868686869</v>
      </c>
      <c r="AI85" s="564">
        <v>264</v>
      </c>
      <c r="AJ85" s="568">
        <v>0.24355300859598855</v>
      </c>
      <c r="AK85" s="565">
        <v>35.913030303030304</v>
      </c>
      <c r="AL85" s="574">
        <v>89</v>
      </c>
      <c r="AM85" s="569">
        <v>0.25501432664756446</v>
      </c>
      <c r="AN85" s="570">
        <v>106.5285393258427</v>
      </c>
      <c r="AO85" s="569"/>
      <c r="AP85" s="575"/>
      <c r="AQ85" s="576"/>
      <c r="AR85" s="577"/>
      <c r="AS85" s="578"/>
      <c r="AT85" s="579"/>
      <c r="AU85" s="580"/>
    </row>
    <row r="86" spans="1:47" ht="21" hidden="1" customHeight="1">
      <c r="A86" t="s">
        <v>239</v>
      </c>
      <c r="B86" t="s">
        <v>155</v>
      </c>
      <c r="C86" s="760"/>
      <c r="D86" s="561" t="s">
        <v>40</v>
      </c>
      <c r="E86" s="561" t="s">
        <v>57</v>
      </c>
      <c r="F86" s="561" t="s">
        <v>57</v>
      </c>
      <c r="G86" s="562" t="s">
        <v>60</v>
      </c>
      <c r="H86" s="563">
        <v>85085.2</v>
      </c>
      <c r="I86" s="581">
        <v>9680</v>
      </c>
      <c r="J86" s="582">
        <v>8.7897933884297519</v>
      </c>
      <c r="K86" s="566">
        <v>4822</v>
      </c>
      <c r="L86" s="567">
        <v>0.50185950413223146</v>
      </c>
      <c r="M86" s="564">
        <v>2515</v>
      </c>
      <c r="N86" s="568">
        <v>0.47843218581501451</v>
      </c>
      <c r="O86" s="586">
        <v>33.831093439363819</v>
      </c>
      <c r="P86" s="564">
        <v>689</v>
      </c>
      <c r="Q86" s="569">
        <v>0.14288676897552882</v>
      </c>
      <c r="R86" s="570">
        <v>123.49085631349782</v>
      </c>
      <c r="S86" s="565">
        <v>85085.2</v>
      </c>
      <c r="T86" s="564">
        <v>9680</v>
      </c>
      <c r="U86" s="565">
        <v>8.7897933884297519</v>
      </c>
      <c r="V86" s="566">
        <v>4822</v>
      </c>
      <c r="W86" s="567">
        <v>0.50185950413223146</v>
      </c>
      <c r="X86" s="564">
        <v>2515</v>
      </c>
      <c r="Y86" s="568">
        <v>0.47843218581501451</v>
      </c>
      <c r="Z86" s="586">
        <v>33.831093439363819</v>
      </c>
      <c r="AA86" s="564">
        <v>689</v>
      </c>
      <c r="AB86" s="569">
        <v>0.14288676897552882</v>
      </c>
      <c r="AC86" s="571">
        <v>123.49085631349782</v>
      </c>
      <c r="AD86" s="563" t="s">
        <v>123</v>
      </c>
      <c r="AE86" s="564" t="s">
        <v>123</v>
      </c>
      <c r="AF86" s="565" t="s">
        <v>123</v>
      </c>
      <c r="AG86" s="566" t="s">
        <v>123</v>
      </c>
      <c r="AH86" s="567" t="s">
        <v>123</v>
      </c>
      <c r="AI86" s="564" t="s">
        <v>123</v>
      </c>
      <c r="AJ86" s="568" t="s">
        <v>123</v>
      </c>
      <c r="AK86" s="586" t="s">
        <v>123</v>
      </c>
      <c r="AL86" s="574" t="s">
        <v>123</v>
      </c>
      <c r="AM86" s="569" t="s">
        <v>123</v>
      </c>
      <c r="AN86" s="570" t="s">
        <v>123</v>
      </c>
      <c r="AO86" s="569"/>
      <c r="AP86" s="587"/>
      <c r="AQ86" s="576"/>
      <c r="AR86" s="588"/>
      <c r="AS86" s="578"/>
      <c r="AT86" s="579"/>
      <c r="AU86" s="580"/>
    </row>
    <row r="87" spans="1:47" ht="49.95" customHeight="1">
      <c r="C87" s="758" t="s">
        <v>571</v>
      </c>
      <c r="D87" s="541"/>
      <c r="E87" s="541"/>
      <c r="F87" s="541"/>
      <c r="G87" s="542" t="s">
        <v>139</v>
      </c>
      <c r="H87" s="543">
        <v>567114.04</v>
      </c>
      <c r="I87" s="544">
        <v>48939</v>
      </c>
      <c r="J87" s="545">
        <v>11.588182022517829</v>
      </c>
      <c r="K87" s="546">
        <v>22660</v>
      </c>
      <c r="L87" s="547">
        <v>0.53697460103394024</v>
      </c>
      <c r="M87" s="544">
        <v>7848</v>
      </c>
      <c r="N87" s="548">
        <v>0.65366284201235658</v>
      </c>
      <c r="O87" s="549">
        <v>72.262237512742104</v>
      </c>
      <c r="P87" s="544">
        <v>1830</v>
      </c>
      <c r="Q87" s="548">
        <v>8.0759046778464252E-2</v>
      </c>
      <c r="R87" s="550">
        <v>309.8983825136612</v>
      </c>
      <c r="S87" s="718">
        <v>546343.5</v>
      </c>
      <c r="T87" s="719">
        <v>47981</v>
      </c>
      <c r="U87" s="718">
        <v>11.386663470957254</v>
      </c>
      <c r="V87" s="721">
        <v>21782</v>
      </c>
      <c r="W87" s="722">
        <v>0.54602863633521603</v>
      </c>
      <c r="X87" s="719">
        <v>7220</v>
      </c>
      <c r="Y87" s="723">
        <v>0.66853365163896794</v>
      </c>
      <c r="Z87" s="727">
        <v>75.670844875346262</v>
      </c>
      <c r="AA87" s="728">
        <v>1593</v>
      </c>
      <c r="AB87" s="723">
        <v>7.3133780185474243E-2</v>
      </c>
      <c r="AC87" s="726">
        <v>342.96516007532955</v>
      </c>
      <c r="AD87" s="552">
        <v>20770.539999999997</v>
      </c>
      <c r="AE87" s="553">
        <v>958</v>
      </c>
      <c r="AF87" s="545">
        <v>21.681148225469727</v>
      </c>
      <c r="AG87" s="546">
        <v>878</v>
      </c>
      <c r="AH87" s="547">
        <v>8.3507306889352817E-2</v>
      </c>
      <c r="AI87" s="553">
        <v>628</v>
      </c>
      <c r="AJ87" s="548">
        <v>0.2847380410022779</v>
      </c>
      <c r="AK87" s="549">
        <v>33.074108280254769</v>
      </c>
      <c r="AL87" s="554">
        <v>237</v>
      </c>
      <c r="AM87" s="548">
        <v>0.26993166287015946</v>
      </c>
      <c r="AN87" s="550">
        <v>87.639409282700413</v>
      </c>
      <c r="AO87" s="548">
        <v>0.91339999999999999</v>
      </c>
      <c r="AP87" s="555">
        <v>0.77349999999999997</v>
      </c>
      <c r="AQ87" s="556">
        <v>0.81159999999999999</v>
      </c>
      <c r="AR87" s="557">
        <v>0.81079999999999997</v>
      </c>
      <c r="AS87" s="558">
        <v>1.96</v>
      </c>
      <c r="AT87" s="583" t="s">
        <v>240</v>
      </c>
      <c r="AU87" s="589" t="s">
        <v>241</v>
      </c>
    </row>
    <row r="88" spans="1:47" ht="21" hidden="1" customHeight="1">
      <c r="A88" t="s">
        <v>141</v>
      </c>
      <c r="B88" t="s">
        <v>141</v>
      </c>
      <c r="C88" s="759"/>
      <c r="D88" s="561" t="s">
        <v>40</v>
      </c>
      <c r="E88" s="561" t="s">
        <v>142</v>
      </c>
      <c r="F88" s="561" t="s">
        <v>44</v>
      </c>
      <c r="G88" s="562" t="s">
        <v>42</v>
      </c>
      <c r="H88" s="563">
        <v>1291.07</v>
      </c>
      <c r="I88" s="564">
        <v>141</v>
      </c>
      <c r="J88" s="565">
        <v>9.1565248226950349</v>
      </c>
      <c r="K88" s="566">
        <v>137</v>
      </c>
      <c r="L88" s="567">
        <v>2.8368794326241134E-2</v>
      </c>
      <c r="M88" s="564">
        <v>96</v>
      </c>
      <c r="N88" s="568">
        <v>0.29927007299270075</v>
      </c>
      <c r="O88" s="565">
        <v>13.448645833333332</v>
      </c>
      <c r="P88" s="564">
        <v>42</v>
      </c>
      <c r="Q88" s="569">
        <v>0.30656934306569344</v>
      </c>
      <c r="R88" s="570">
        <v>30.739761904761902</v>
      </c>
      <c r="S88" s="565" t="s">
        <v>123</v>
      </c>
      <c r="T88" s="564" t="s">
        <v>123</v>
      </c>
      <c r="U88" s="565" t="s">
        <v>123</v>
      </c>
      <c r="V88" s="566" t="s">
        <v>123</v>
      </c>
      <c r="W88" s="567" t="s">
        <v>123</v>
      </c>
      <c r="X88" s="564" t="s">
        <v>123</v>
      </c>
      <c r="Y88" s="568" t="s">
        <v>123</v>
      </c>
      <c r="Z88" s="565" t="s">
        <v>123</v>
      </c>
      <c r="AA88" s="564" t="s">
        <v>123</v>
      </c>
      <c r="AB88" s="569" t="s">
        <v>123</v>
      </c>
      <c r="AC88" s="571" t="s">
        <v>123</v>
      </c>
      <c r="AD88" s="563">
        <v>1291.07</v>
      </c>
      <c r="AE88" s="564">
        <v>141</v>
      </c>
      <c r="AF88" s="565">
        <v>9.1565248226950349</v>
      </c>
      <c r="AG88" s="566">
        <v>137</v>
      </c>
      <c r="AH88" s="567">
        <v>2.8368794326241134E-2</v>
      </c>
      <c r="AI88" s="564">
        <v>96</v>
      </c>
      <c r="AJ88" s="568">
        <v>0.29927007299270075</v>
      </c>
      <c r="AK88" s="565">
        <v>13.448645833333332</v>
      </c>
      <c r="AL88" s="574">
        <v>42</v>
      </c>
      <c r="AM88" s="569">
        <v>0.30656934306569344</v>
      </c>
      <c r="AN88" s="570">
        <v>30.739761904761902</v>
      </c>
      <c r="AO88" s="569"/>
      <c r="AP88" s="575"/>
      <c r="AQ88" s="576"/>
      <c r="AR88" s="577"/>
      <c r="AS88" s="578"/>
      <c r="AT88" s="579"/>
      <c r="AU88" s="580"/>
    </row>
    <row r="89" spans="1:47" ht="21" hidden="1" customHeight="1">
      <c r="A89" t="s">
        <v>144</v>
      </c>
      <c r="B89" t="s">
        <v>144</v>
      </c>
      <c r="C89" s="759"/>
      <c r="D89" s="561" t="s">
        <v>52</v>
      </c>
      <c r="E89" s="561" t="s">
        <v>145</v>
      </c>
      <c r="F89" s="561" t="s">
        <v>44</v>
      </c>
      <c r="G89" s="562" t="s">
        <v>42</v>
      </c>
      <c r="H89" s="563">
        <v>3572.41</v>
      </c>
      <c r="I89" s="564">
        <v>270</v>
      </c>
      <c r="J89" s="565">
        <v>13.231148148148147</v>
      </c>
      <c r="K89" s="566">
        <v>234</v>
      </c>
      <c r="L89" s="567">
        <v>0.13333333333333333</v>
      </c>
      <c r="M89" s="564">
        <v>157</v>
      </c>
      <c r="N89" s="568">
        <v>0.32905982905982906</v>
      </c>
      <c r="O89" s="565">
        <v>22.754203821656048</v>
      </c>
      <c r="P89" s="564">
        <v>64</v>
      </c>
      <c r="Q89" s="569">
        <v>0.27350427350427353</v>
      </c>
      <c r="R89" s="570">
        <v>55.818906249999998</v>
      </c>
      <c r="S89" s="565" t="s">
        <v>123</v>
      </c>
      <c r="T89" s="564" t="s">
        <v>123</v>
      </c>
      <c r="U89" s="565" t="s">
        <v>123</v>
      </c>
      <c r="V89" s="566" t="s">
        <v>123</v>
      </c>
      <c r="W89" s="567" t="s">
        <v>123</v>
      </c>
      <c r="X89" s="564" t="s">
        <v>123</v>
      </c>
      <c r="Y89" s="568" t="s">
        <v>123</v>
      </c>
      <c r="Z89" s="565" t="s">
        <v>123</v>
      </c>
      <c r="AA89" s="564" t="s">
        <v>123</v>
      </c>
      <c r="AB89" s="569" t="s">
        <v>123</v>
      </c>
      <c r="AC89" s="571" t="s">
        <v>123</v>
      </c>
      <c r="AD89" s="563">
        <v>3572.41</v>
      </c>
      <c r="AE89" s="564">
        <v>270</v>
      </c>
      <c r="AF89" s="565">
        <v>13.231148148148147</v>
      </c>
      <c r="AG89" s="566">
        <v>234</v>
      </c>
      <c r="AH89" s="567">
        <v>0.13333333333333333</v>
      </c>
      <c r="AI89" s="564">
        <v>157</v>
      </c>
      <c r="AJ89" s="568">
        <v>0.32905982905982906</v>
      </c>
      <c r="AK89" s="565">
        <v>22.754203821656048</v>
      </c>
      <c r="AL89" s="574">
        <v>64</v>
      </c>
      <c r="AM89" s="569">
        <v>0.27350427350427353</v>
      </c>
      <c r="AN89" s="570">
        <v>55.818906249999998</v>
      </c>
      <c r="AO89" s="569"/>
      <c r="AP89" s="575"/>
      <c r="AQ89" s="576"/>
      <c r="AR89" s="577"/>
      <c r="AS89" s="578"/>
      <c r="AT89" s="579"/>
      <c r="AU89" s="580"/>
    </row>
    <row r="90" spans="1:47" ht="21" hidden="1" customHeight="1">
      <c r="A90" t="s">
        <v>147</v>
      </c>
      <c r="B90" t="s">
        <v>147</v>
      </c>
      <c r="C90" s="759"/>
      <c r="D90" s="561" t="s">
        <v>40</v>
      </c>
      <c r="E90" s="561" t="s">
        <v>57</v>
      </c>
      <c r="F90" s="561" t="s">
        <v>57</v>
      </c>
      <c r="G90" s="562" t="s">
        <v>42</v>
      </c>
      <c r="H90" s="563">
        <v>105.82</v>
      </c>
      <c r="I90" s="564">
        <v>43</v>
      </c>
      <c r="J90" s="565">
        <v>2.4609302325581393</v>
      </c>
      <c r="K90" s="566">
        <v>24</v>
      </c>
      <c r="L90" s="567">
        <v>0.44186046511627908</v>
      </c>
      <c r="M90" s="564">
        <v>5</v>
      </c>
      <c r="N90" s="568">
        <v>0.79166666666666663</v>
      </c>
      <c r="O90" s="565">
        <v>21.163999999999998</v>
      </c>
      <c r="P90" s="564">
        <v>1</v>
      </c>
      <c r="Q90" s="569">
        <v>4.1666666666666664E-2</v>
      </c>
      <c r="R90" s="570">
        <v>105.82</v>
      </c>
      <c r="S90" s="565">
        <v>105.82</v>
      </c>
      <c r="T90" s="564">
        <v>43</v>
      </c>
      <c r="U90" s="565">
        <v>2.4609302325581393</v>
      </c>
      <c r="V90" s="566">
        <v>24</v>
      </c>
      <c r="W90" s="567">
        <v>0.44186046511627908</v>
      </c>
      <c r="X90" s="564">
        <v>5</v>
      </c>
      <c r="Y90" s="568">
        <v>0.79166666666666663</v>
      </c>
      <c r="Z90" s="565">
        <v>21.163999999999998</v>
      </c>
      <c r="AA90" s="564">
        <v>1</v>
      </c>
      <c r="AB90" s="569">
        <v>4.1666666666666664E-2</v>
      </c>
      <c r="AC90" s="571">
        <v>105.82</v>
      </c>
      <c r="AD90" s="563" t="s">
        <v>123</v>
      </c>
      <c r="AE90" s="564" t="s">
        <v>123</v>
      </c>
      <c r="AF90" s="565" t="s">
        <v>123</v>
      </c>
      <c r="AG90" s="566" t="s">
        <v>123</v>
      </c>
      <c r="AH90" s="567" t="s">
        <v>123</v>
      </c>
      <c r="AI90" s="564" t="s">
        <v>123</v>
      </c>
      <c r="AJ90" s="568" t="s">
        <v>123</v>
      </c>
      <c r="AK90" s="565" t="s">
        <v>123</v>
      </c>
      <c r="AL90" s="574" t="s">
        <v>123</v>
      </c>
      <c r="AM90" s="569" t="s">
        <v>123</v>
      </c>
      <c r="AN90" s="570" t="s">
        <v>123</v>
      </c>
      <c r="AO90" s="569"/>
      <c r="AP90" s="575"/>
      <c r="AQ90" s="576"/>
      <c r="AR90" s="577"/>
      <c r="AS90" s="578"/>
      <c r="AT90" s="579"/>
      <c r="AU90" s="580"/>
    </row>
    <row r="91" spans="1:47" ht="21" hidden="1" customHeight="1">
      <c r="A91" t="s">
        <v>149</v>
      </c>
      <c r="B91" t="s">
        <v>149</v>
      </c>
      <c r="C91" s="759"/>
      <c r="D91" s="561" t="s">
        <v>52</v>
      </c>
      <c r="E91" s="561" t="s">
        <v>121</v>
      </c>
      <c r="F91" s="561" t="s">
        <v>44</v>
      </c>
      <c r="G91" s="562" t="s">
        <v>42</v>
      </c>
      <c r="H91" s="563">
        <v>579.04</v>
      </c>
      <c r="I91" s="564">
        <v>5</v>
      </c>
      <c r="J91" s="565">
        <v>115.80799999999999</v>
      </c>
      <c r="K91" s="566">
        <v>4</v>
      </c>
      <c r="L91" s="567">
        <v>0.2</v>
      </c>
      <c r="M91" s="564">
        <v>4</v>
      </c>
      <c r="N91" s="568">
        <v>0</v>
      </c>
      <c r="O91" s="565">
        <v>144.76</v>
      </c>
      <c r="P91" s="564">
        <v>3</v>
      </c>
      <c r="Q91" s="569">
        <v>0.75</v>
      </c>
      <c r="R91" s="570">
        <v>193.01333333333332</v>
      </c>
      <c r="S91" s="565" t="s">
        <v>123</v>
      </c>
      <c r="T91" s="564" t="s">
        <v>123</v>
      </c>
      <c r="U91" s="565" t="s">
        <v>123</v>
      </c>
      <c r="V91" s="566" t="s">
        <v>123</v>
      </c>
      <c r="W91" s="567" t="s">
        <v>123</v>
      </c>
      <c r="X91" s="564" t="s">
        <v>123</v>
      </c>
      <c r="Y91" s="568" t="s">
        <v>123</v>
      </c>
      <c r="Z91" s="565" t="s">
        <v>123</v>
      </c>
      <c r="AA91" s="564" t="s">
        <v>123</v>
      </c>
      <c r="AB91" s="569" t="s">
        <v>123</v>
      </c>
      <c r="AC91" s="571" t="s">
        <v>123</v>
      </c>
      <c r="AD91" s="563">
        <v>579.04</v>
      </c>
      <c r="AE91" s="564">
        <v>5</v>
      </c>
      <c r="AF91" s="565">
        <v>115.80799999999999</v>
      </c>
      <c r="AG91" s="566">
        <v>4</v>
      </c>
      <c r="AH91" s="567">
        <v>0.2</v>
      </c>
      <c r="AI91" s="564">
        <v>4</v>
      </c>
      <c r="AJ91" s="568">
        <v>0</v>
      </c>
      <c r="AK91" s="565">
        <v>144.76</v>
      </c>
      <c r="AL91" s="574">
        <v>3</v>
      </c>
      <c r="AM91" s="569">
        <v>0.75</v>
      </c>
      <c r="AN91" s="570">
        <v>193.01333333333332</v>
      </c>
      <c r="AO91" s="569"/>
      <c r="AP91" s="575"/>
      <c r="AQ91" s="576"/>
      <c r="AR91" s="577"/>
      <c r="AS91" s="578"/>
      <c r="AT91" s="579"/>
      <c r="AU91" s="580"/>
    </row>
    <row r="92" spans="1:47" ht="21" hidden="1" customHeight="1">
      <c r="A92" t="s">
        <v>151</v>
      </c>
      <c r="B92" t="s">
        <v>151</v>
      </c>
      <c r="C92" s="759"/>
      <c r="D92" s="561" t="s">
        <v>40</v>
      </c>
      <c r="E92" s="561" t="s">
        <v>142</v>
      </c>
      <c r="F92" s="561" t="s">
        <v>44</v>
      </c>
      <c r="G92" s="562" t="s">
        <v>60</v>
      </c>
      <c r="H92" s="563">
        <v>8732.24</v>
      </c>
      <c r="I92" s="564">
        <v>271</v>
      </c>
      <c r="J92" s="565">
        <v>32.222287822878229</v>
      </c>
      <c r="K92" s="566">
        <v>258</v>
      </c>
      <c r="L92" s="567">
        <v>4.797047970479705E-2</v>
      </c>
      <c r="M92" s="564">
        <v>185</v>
      </c>
      <c r="N92" s="568">
        <v>0.28294573643410853</v>
      </c>
      <c r="O92" s="565">
        <v>47.201297297297295</v>
      </c>
      <c r="P92" s="564">
        <v>68</v>
      </c>
      <c r="Q92" s="569">
        <v>0.26356589147286824</v>
      </c>
      <c r="R92" s="570">
        <v>128.41529411764705</v>
      </c>
      <c r="S92" s="565" t="s">
        <v>123</v>
      </c>
      <c r="T92" s="564" t="s">
        <v>123</v>
      </c>
      <c r="U92" s="565" t="s">
        <v>123</v>
      </c>
      <c r="V92" s="566" t="s">
        <v>123</v>
      </c>
      <c r="W92" s="567" t="s">
        <v>123</v>
      </c>
      <c r="X92" s="564" t="s">
        <v>123</v>
      </c>
      <c r="Y92" s="568" t="s">
        <v>123</v>
      </c>
      <c r="Z92" s="565" t="s">
        <v>123</v>
      </c>
      <c r="AA92" s="564" t="s">
        <v>123</v>
      </c>
      <c r="AB92" s="569" t="s">
        <v>123</v>
      </c>
      <c r="AC92" s="571" t="s">
        <v>123</v>
      </c>
      <c r="AD92" s="563">
        <v>8732.24</v>
      </c>
      <c r="AE92" s="564">
        <v>271</v>
      </c>
      <c r="AF92" s="565">
        <v>32.222287822878229</v>
      </c>
      <c r="AG92" s="566">
        <v>258</v>
      </c>
      <c r="AH92" s="567">
        <v>4.797047970479705E-2</v>
      </c>
      <c r="AI92" s="564">
        <v>185</v>
      </c>
      <c r="AJ92" s="568">
        <v>0.28294573643410853</v>
      </c>
      <c r="AK92" s="565">
        <v>47.201297297297295</v>
      </c>
      <c r="AL92" s="574">
        <v>68</v>
      </c>
      <c r="AM92" s="569">
        <v>0.26356589147286824</v>
      </c>
      <c r="AN92" s="570">
        <v>128.41529411764705</v>
      </c>
      <c r="AO92" s="569"/>
      <c r="AP92" s="575"/>
      <c r="AQ92" s="576"/>
      <c r="AR92" s="577"/>
      <c r="AS92" s="578"/>
      <c r="AT92" s="579"/>
      <c r="AU92" s="580"/>
    </row>
    <row r="93" spans="1:47" ht="21" hidden="1" customHeight="1">
      <c r="A93" t="s">
        <v>153</v>
      </c>
      <c r="B93" t="s">
        <v>153</v>
      </c>
      <c r="C93" s="759"/>
      <c r="D93" s="561" t="s">
        <v>52</v>
      </c>
      <c r="E93" s="561" t="s">
        <v>145</v>
      </c>
      <c r="F93" s="561" t="s">
        <v>44</v>
      </c>
      <c r="G93" s="562" t="s">
        <v>60</v>
      </c>
      <c r="H93" s="563">
        <v>6595.78</v>
      </c>
      <c r="I93" s="564">
        <v>271</v>
      </c>
      <c r="J93" s="565">
        <v>24.338671586715865</v>
      </c>
      <c r="K93" s="566">
        <v>245</v>
      </c>
      <c r="L93" s="567">
        <v>9.5940959409594101E-2</v>
      </c>
      <c r="M93" s="564">
        <v>186</v>
      </c>
      <c r="N93" s="568">
        <v>0.24081632653061225</v>
      </c>
      <c r="O93" s="565">
        <v>35.461182795698925</v>
      </c>
      <c r="P93" s="564">
        <v>60</v>
      </c>
      <c r="Q93" s="569">
        <v>0.24489795918367346</v>
      </c>
      <c r="R93" s="570">
        <v>109.92966666666666</v>
      </c>
      <c r="S93" s="565" t="s">
        <v>123</v>
      </c>
      <c r="T93" s="564" t="s">
        <v>123</v>
      </c>
      <c r="U93" s="565" t="s">
        <v>123</v>
      </c>
      <c r="V93" s="566" t="s">
        <v>123</v>
      </c>
      <c r="W93" s="567" t="s">
        <v>123</v>
      </c>
      <c r="X93" s="564" t="s">
        <v>123</v>
      </c>
      <c r="Y93" s="568" t="s">
        <v>123</v>
      </c>
      <c r="Z93" s="565" t="s">
        <v>123</v>
      </c>
      <c r="AA93" s="564" t="s">
        <v>123</v>
      </c>
      <c r="AB93" s="569" t="s">
        <v>123</v>
      </c>
      <c r="AC93" s="571" t="s">
        <v>123</v>
      </c>
      <c r="AD93" s="563">
        <v>6595.78</v>
      </c>
      <c r="AE93" s="564">
        <v>271</v>
      </c>
      <c r="AF93" s="565">
        <v>24.338671586715865</v>
      </c>
      <c r="AG93" s="566">
        <v>245</v>
      </c>
      <c r="AH93" s="567">
        <v>9.5940959409594101E-2</v>
      </c>
      <c r="AI93" s="564">
        <v>186</v>
      </c>
      <c r="AJ93" s="568">
        <v>0.24081632653061225</v>
      </c>
      <c r="AK93" s="565">
        <v>35.461182795698925</v>
      </c>
      <c r="AL93" s="574">
        <v>60</v>
      </c>
      <c r="AM93" s="569">
        <v>0.24489795918367346</v>
      </c>
      <c r="AN93" s="570">
        <v>109.92966666666666</v>
      </c>
      <c r="AO93" s="569"/>
      <c r="AP93" s="575"/>
      <c r="AQ93" s="576"/>
      <c r="AR93" s="577"/>
      <c r="AS93" s="578"/>
      <c r="AT93" s="579"/>
      <c r="AU93" s="580"/>
    </row>
    <row r="94" spans="1:47" ht="21" hidden="1" customHeight="1">
      <c r="A94" t="s">
        <v>155</v>
      </c>
      <c r="B94" t="s">
        <v>155</v>
      </c>
      <c r="C94" s="760"/>
      <c r="D94" s="561" t="s">
        <v>40</v>
      </c>
      <c r="E94" s="561" t="s">
        <v>57</v>
      </c>
      <c r="F94" s="561" t="s">
        <v>57</v>
      </c>
      <c r="G94" s="562" t="s">
        <v>60</v>
      </c>
      <c r="H94" s="563">
        <v>546237.68000000005</v>
      </c>
      <c r="I94" s="581">
        <v>47938</v>
      </c>
      <c r="J94" s="582">
        <v>11.394669781801495</v>
      </c>
      <c r="K94" s="566">
        <v>21758</v>
      </c>
      <c r="L94" s="567">
        <v>0.54612207434603033</v>
      </c>
      <c r="M94" s="564">
        <v>7215</v>
      </c>
      <c r="N94" s="568">
        <v>0.66839783068296721</v>
      </c>
      <c r="O94" s="586">
        <v>75.708618156618158</v>
      </c>
      <c r="P94" s="564">
        <v>1592</v>
      </c>
      <c r="Q94" s="569">
        <v>7.3168489750896223E-2</v>
      </c>
      <c r="R94" s="570">
        <v>343.11412060301512</v>
      </c>
      <c r="S94" s="565">
        <v>546237.68000000005</v>
      </c>
      <c r="T94" s="564">
        <v>47938</v>
      </c>
      <c r="U94" s="565">
        <v>11.394669781801495</v>
      </c>
      <c r="V94" s="566">
        <v>21758</v>
      </c>
      <c r="W94" s="567">
        <v>0.54612207434603033</v>
      </c>
      <c r="X94" s="564">
        <v>7215</v>
      </c>
      <c r="Y94" s="568">
        <v>0.66839783068296721</v>
      </c>
      <c r="Z94" s="586">
        <v>75.708618156618158</v>
      </c>
      <c r="AA94" s="564">
        <v>1592</v>
      </c>
      <c r="AB94" s="569">
        <v>7.3168489750896223E-2</v>
      </c>
      <c r="AC94" s="571">
        <v>343.11412060301512</v>
      </c>
      <c r="AD94" s="563" t="s">
        <v>123</v>
      </c>
      <c r="AE94" s="564" t="s">
        <v>123</v>
      </c>
      <c r="AF94" s="565" t="s">
        <v>123</v>
      </c>
      <c r="AG94" s="566" t="s">
        <v>123</v>
      </c>
      <c r="AH94" s="567" t="s">
        <v>123</v>
      </c>
      <c r="AI94" s="564" t="s">
        <v>123</v>
      </c>
      <c r="AJ94" s="568" t="s">
        <v>123</v>
      </c>
      <c r="AK94" s="586" t="s">
        <v>123</v>
      </c>
      <c r="AL94" s="574" t="s">
        <v>123</v>
      </c>
      <c r="AM94" s="569" t="s">
        <v>123</v>
      </c>
      <c r="AN94" s="570" t="s">
        <v>123</v>
      </c>
      <c r="AO94" s="569"/>
      <c r="AP94" s="587"/>
      <c r="AQ94" s="576"/>
      <c r="AR94" s="588"/>
      <c r="AS94" s="578"/>
      <c r="AT94" s="579"/>
      <c r="AU94" s="580"/>
    </row>
    <row r="95" spans="1:47" ht="49.95" customHeight="1">
      <c r="C95" s="758" t="s">
        <v>242</v>
      </c>
      <c r="D95" s="541"/>
      <c r="E95" s="541"/>
      <c r="F95" s="541"/>
      <c r="G95" s="542" t="s">
        <v>139</v>
      </c>
      <c r="H95" s="543">
        <v>38549.61</v>
      </c>
      <c r="I95" s="544">
        <v>3078</v>
      </c>
      <c r="J95" s="545">
        <v>12.524239766081871</v>
      </c>
      <c r="K95" s="546">
        <v>2372</v>
      </c>
      <c r="L95" s="547">
        <v>0.22936972059779076</v>
      </c>
      <c r="M95" s="544">
        <v>1217</v>
      </c>
      <c r="N95" s="548">
        <v>0.48693086003372682</v>
      </c>
      <c r="O95" s="549">
        <v>31.675932621199671</v>
      </c>
      <c r="P95" s="544">
        <v>384</v>
      </c>
      <c r="Q95" s="548">
        <v>0.16188870151770657</v>
      </c>
      <c r="R95" s="550">
        <v>100.38960937500001</v>
      </c>
      <c r="S95" s="545">
        <v>14350.72</v>
      </c>
      <c r="T95" s="544">
        <v>2037</v>
      </c>
      <c r="U95" s="545">
        <v>7.0450270004909177</v>
      </c>
      <c r="V95" s="546">
        <v>1384</v>
      </c>
      <c r="W95" s="547">
        <v>0.32056946489936183</v>
      </c>
      <c r="X95" s="544">
        <v>516</v>
      </c>
      <c r="Y95" s="548">
        <v>0.62716763005780352</v>
      </c>
      <c r="Z95" s="549">
        <v>27.811472868217052</v>
      </c>
      <c r="AA95" s="544">
        <v>111</v>
      </c>
      <c r="AB95" s="548">
        <v>8.0202312138728318E-2</v>
      </c>
      <c r="AC95" s="551">
        <v>129.28576576576577</v>
      </c>
      <c r="AD95" s="552">
        <v>24198.89</v>
      </c>
      <c r="AE95" s="553">
        <v>1041</v>
      </c>
      <c r="AF95" s="545">
        <v>23.24581171950048</v>
      </c>
      <c r="AG95" s="546">
        <v>988</v>
      </c>
      <c r="AH95" s="547">
        <v>5.0912584053794431E-2</v>
      </c>
      <c r="AI95" s="553">
        <v>701</v>
      </c>
      <c r="AJ95" s="548">
        <v>0.29048582995951416</v>
      </c>
      <c r="AK95" s="549">
        <v>34.52052781740371</v>
      </c>
      <c r="AL95" s="554">
        <v>273</v>
      </c>
      <c r="AM95" s="548">
        <v>0.27631578947368424</v>
      </c>
      <c r="AN95" s="550">
        <v>88.640622710622708</v>
      </c>
      <c r="AO95" s="548">
        <v>0.91969999999999996</v>
      </c>
      <c r="AP95" s="555">
        <v>0.77349999999999997</v>
      </c>
      <c r="AQ95" s="556">
        <v>0.81369999999999998</v>
      </c>
      <c r="AR95" s="557">
        <v>0.81559999999999999</v>
      </c>
      <c r="AS95" s="558">
        <v>1.57</v>
      </c>
      <c r="AT95" s="583"/>
      <c r="AU95" s="580"/>
    </row>
    <row r="96" spans="1:47" ht="21" hidden="1" customHeight="1">
      <c r="A96" t="s">
        <v>243</v>
      </c>
      <c r="B96" t="s">
        <v>141</v>
      </c>
      <c r="C96" s="759"/>
      <c r="D96" s="561" t="s">
        <v>40</v>
      </c>
      <c r="E96" s="561" t="s">
        <v>142</v>
      </c>
      <c r="F96" s="561" t="s">
        <v>44</v>
      </c>
      <c r="G96" s="562" t="s">
        <v>42</v>
      </c>
      <c r="H96" s="563">
        <v>1675.16</v>
      </c>
      <c r="I96" s="564">
        <v>144</v>
      </c>
      <c r="J96" s="565">
        <v>11.633055555555556</v>
      </c>
      <c r="K96" s="566">
        <v>141</v>
      </c>
      <c r="L96" s="567">
        <v>2.0833333333333332E-2</v>
      </c>
      <c r="M96" s="564">
        <v>101</v>
      </c>
      <c r="N96" s="568">
        <v>0.28368794326241137</v>
      </c>
      <c r="O96" s="565">
        <v>16.585742574257427</v>
      </c>
      <c r="P96" s="564">
        <v>48</v>
      </c>
      <c r="Q96" s="569">
        <v>0.34042553191489361</v>
      </c>
      <c r="R96" s="570">
        <v>34.899166666666666</v>
      </c>
      <c r="S96" s="565" t="s">
        <v>123</v>
      </c>
      <c r="T96" s="564" t="s">
        <v>123</v>
      </c>
      <c r="U96" s="565" t="s">
        <v>123</v>
      </c>
      <c r="V96" s="566" t="s">
        <v>123</v>
      </c>
      <c r="W96" s="567" t="s">
        <v>123</v>
      </c>
      <c r="X96" s="564" t="s">
        <v>123</v>
      </c>
      <c r="Y96" s="568" t="s">
        <v>123</v>
      </c>
      <c r="Z96" s="565" t="s">
        <v>123</v>
      </c>
      <c r="AA96" s="564" t="s">
        <v>123</v>
      </c>
      <c r="AB96" s="569" t="s">
        <v>123</v>
      </c>
      <c r="AC96" s="571" t="s">
        <v>123</v>
      </c>
      <c r="AD96" s="563">
        <v>1675.16</v>
      </c>
      <c r="AE96" s="564">
        <v>144</v>
      </c>
      <c r="AF96" s="565">
        <v>11.633055555555556</v>
      </c>
      <c r="AG96" s="566">
        <v>141</v>
      </c>
      <c r="AH96" s="567">
        <v>2.0833333333333332E-2</v>
      </c>
      <c r="AI96" s="564">
        <v>101</v>
      </c>
      <c r="AJ96" s="568">
        <v>0.28368794326241137</v>
      </c>
      <c r="AK96" s="565">
        <v>16.585742574257427</v>
      </c>
      <c r="AL96" s="574">
        <v>48</v>
      </c>
      <c r="AM96" s="569">
        <v>0.34042553191489361</v>
      </c>
      <c r="AN96" s="570">
        <v>34.899166666666666</v>
      </c>
      <c r="AO96" s="569"/>
      <c r="AP96" s="575"/>
      <c r="AQ96" s="576"/>
      <c r="AR96" s="577"/>
      <c r="AS96" s="578"/>
      <c r="AT96" s="579"/>
      <c r="AU96" s="580"/>
    </row>
    <row r="97" spans="1:47" ht="21" hidden="1" customHeight="1">
      <c r="A97" t="s">
        <v>244</v>
      </c>
      <c r="B97" t="s">
        <v>144</v>
      </c>
      <c r="C97" s="759"/>
      <c r="D97" s="561" t="s">
        <v>52</v>
      </c>
      <c r="E97" s="561" t="s">
        <v>145</v>
      </c>
      <c r="F97" s="561" t="s">
        <v>44</v>
      </c>
      <c r="G97" s="562" t="s">
        <v>42</v>
      </c>
      <c r="H97" s="563">
        <v>4089.64</v>
      </c>
      <c r="I97" s="564">
        <v>283</v>
      </c>
      <c r="J97" s="565">
        <v>14.451024734982331</v>
      </c>
      <c r="K97" s="566">
        <v>228</v>
      </c>
      <c r="L97" s="567">
        <v>0.19434628975265017</v>
      </c>
      <c r="M97" s="564">
        <v>165</v>
      </c>
      <c r="N97" s="568">
        <v>0.27631578947368424</v>
      </c>
      <c r="O97" s="565">
        <v>24.785696969696968</v>
      </c>
      <c r="P97" s="564">
        <v>50</v>
      </c>
      <c r="Q97" s="569">
        <v>0.21929824561403508</v>
      </c>
      <c r="R97" s="570">
        <v>81.7928</v>
      </c>
      <c r="S97" s="565" t="s">
        <v>123</v>
      </c>
      <c r="T97" s="564" t="s">
        <v>123</v>
      </c>
      <c r="U97" s="565" t="s">
        <v>123</v>
      </c>
      <c r="V97" s="566" t="s">
        <v>123</v>
      </c>
      <c r="W97" s="567" t="s">
        <v>123</v>
      </c>
      <c r="X97" s="564" t="s">
        <v>123</v>
      </c>
      <c r="Y97" s="568" t="s">
        <v>123</v>
      </c>
      <c r="Z97" s="565" t="s">
        <v>123</v>
      </c>
      <c r="AA97" s="564" t="s">
        <v>123</v>
      </c>
      <c r="AB97" s="569" t="s">
        <v>123</v>
      </c>
      <c r="AC97" s="571" t="s">
        <v>123</v>
      </c>
      <c r="AD97" s="563">
        <v>4089.64</v>
      </c>
      <c r="AE97" s="564">
        <v>283</v>
      </c>
      <c r="AF97" s="565">
        <v>14.451024734982331</v>
      </c>
      <c r="AG97" s="566">
        <v>228</v>
      </c>
      <c r="AH97" s="567">
        <v>0.19434628975265017</v>
      </c>
      <c r="AI97" s="564">
        <v>165</v>
      </c>
      <c r="AJ97" s="568">
        <v>0.27631578947368424</v>
      </c>
      <c r="AK97" s="565">
        <v>24.785696969696968</v>
      </c>
      <c r="AL97" s="574">
        <v>50</v>
      </c>
      <c r="AM97" s="569">
        <v>0.21929824561403508</v>
      </c>
      <c r="AN97" s="570">
        <v>81.7928</v>
      </c>
      <c r="AO97" s="569"/>
      <c r="AP97" s="575"/>
      <c r="AQ97" s="576"/>
      <c r="AR97" s="577"/>
      <c r="AS97" s="578"/>
      <c r="AT97" s="579"/>
      <c r="AU97" s="580"/>
    </row>
    <row r="98" spans="1:47" ht="21" hidden="1" customHeight="1">
      <c r="A98" t="s">
        <v>245</v>
      </c>
      <c r="B98" t="s">
        <v>147</v>
      </c>
      <c r="C98" s="759"/>
      <c r="D98" s="561" t="s">
        <v>40</v>
      </c>
      <c r="E98" s="561" t="s">
        <v>57</v>
      </c>
      <c r="F98" s="561" t="s">
        <v>57</v>
      </c>
      <c r="G98" s="562" t="s">
        <v>42</v>
      </c>
      <c r="H98" s="563">
        <v>0</v>
      </c>
      <c r="I98" s="564">
        <v>0</v>
      </c>
      <c r="J98" s="565" t="s">
        <v>123</v>
      </c>
      <c r="K98" s="566">
        <v>22</v>
      </c>
      <c r="L98" s="567" t="s">
        <v>123</v>
      </c>
      <c r="M98" s="564">
        <v>5</v>
      </c>
      <c r="N98" s="568">
        <v>0.77272727272727271</v>
      </c>
      <c r="O98" s="565">
        <v>0</v>
      </c>
      <c r="P98" s="564">
        <v>0</v>
      </c>
      <c r="Q98" s="569">
        <v>0</v>
      </c>
      <c r="R98" s="570" t="s">
        <v>123</v>
      </c>
      <c r="S98" s="565">
        <v>0</v>
      </c>
      <c r="T98" s="564">
        <v>0</v>
      </c>
      <c r="U98" s="565" t="s">
        <v>123</v>
      </c>
      <c r="V98" s="566">
        <v>22</v>
      </c>
      <c r="W98" s="567" t="s">
        <v>123</v>
      </c>
      <c r="X98" s="564">
        <v>5</v>
      </c>
      <c r="Y98" s="568">
        <v>0.77272727272727271</v>
      </c>
      <c r="Z98" s="565">
        <v>0</v>
      </c>
      <c r="AA98" s="564">
        <v>0</v>
      </c>
      <c r="AB98" s="569">
        <v>0</v>
      </c>
      <c r="AC98" s="571" t="s">
        <v>123</v>
      </c>
      <c r="AD98" s="563" t="s">
        <v>123</v>
      </c>
      <c r="AE98" s="564" t="s">
        <v>123</v>
      </c>
      <c r="AF98" s="565" t="s">
        <v>123</v>
      </c>
      <c r="AG98" s="566" t="s">
        <v>123</v>
      </c>
      <c r="AH98" s="567" t="s">
        <v>123</v>
      </c>
      <c r="AI98" s="564" t="s">
        <v>123</v>
      </c>
      <c r="AJ98" s="568" t="s">
        <v>123</v>
      </c>
      <c r="AK98" s="565" t="s">
        <v>123</v>
      </c>
      <c r="AL98" s="574" t="s">
        <v>123</v>
      </c>
      <c r="AM98" s="569" t="s">
        <v>123</v>
      </c>
      <c r="AN98" s="570" t="s">
        <v>123</v>
      </c>
      <c r="AO98" s="569"/>
      <c r="AP98" s="575"/>
      <c r="AQ98" s="576"/>
      <c r="AR98" s="577"/>
      <c r="AS98" s="578"/>
      <c r="AT98" s="579"/>
      <c r="AU98" s="580"/>
    </row>
    <row r="99" spans="1:47" ht="21" hidden="1" customHeight="1">
      <c r="A99" t="s">
        <v>246</v>
      </c>
      <c r="B99" t="s">
        <v>149</v>
      </c>
      <c r="C99" s="759"/>
      <c r="D99" s="561" t="s">
        <v>52</v>
      </c>
      <c r="E99" s="561" t="s">
        <v>121</v>
      </c>
      <c r="F99" s="561" t="s">
        <v>44</v>
      </c>
      <c r="G99" s="562" t="s">
        <v>42</v>
      </c>
      <c r="H99" s="563">
        <v>0</v>
      </c>
      <c r="I99" s="564">
        <v>0</v>
      </c>
      <c r="J99" s="565" t="s">
        <v>123</v>
      </c>
      <c r="K99" s="566">
        <v>0</v>
      </c>
      <c r="L99" s="567" t="s">
        <v>123</v>
      </c>
      <c r="M99" s="564">
        <v>0</v>
      </c>
      <c r="N99" s="568" t="s">
        <v>123</v>
      </c>
      <c r="O99" s="565" t="s">
        <v>123</v>
      </c>
      <c r="P99" s="564">
        <v>0</v>
      </c>
      <c r="Q99" s="569" t="s">
        <v>123</v>
      </c>
      <c r="R99" s="570" t="s">
        <v>123</v>
      </c>
      <c r="S99" s="565" t="s">
        <v>123</v>
      </c>
      <c r="T99" s="564" t="s">
        <v>123</v>
      </c>
      <c r="U99" s="565" t="s">
        <v>123</v>
      </c>
      <c r="V99" s="566" t="s">
        <v>123</v>
      </c>
      <c r="W99" s="567" t="s">
        <v>123</v>
      </c>
      <c r="X99" s="564" t="s">
        <v>123</v>
      </c>
      <c r="Y99" s="568" t="s">
        <v>123</v>
      </c>
      <c r="Z99" s="565" t="s">
        <v>123</v>
      </c>
      <c r="AA99" s="564" t="s">
        <v>123</v>
      </c>
      <c r="AB99" s="569" t="s">
        <v>123</v>
      </c>
      <c r="AC99" s="571" t="s">
        <v>123</v>
      </c>
      <c r="AD99" s="563">
        <v>0</v>
      </c>
      <c r="AE99" s="564">
        <v>0</v>
      </c>
      <c r="AF99" s="565" t="s">
        <v>123</v>
      </c>
      <c r="AG99" s="566">
        <v>0</v>
      </c>
      <c r="AH99" s="567" t="s">
        <v>123</v>
      </c>
      <c r="AI99" s="564">
        <v>0</v>
      </c>
      <c r="AJ99" s="568" t="s">
        <v>123</v>
      </c>
      <c r="AK99" s="565" t="s">
        <v>123</v>
      </c>
      <c r="AL99" s="574">
        <v>0</v>
      </c>
      <c r="AM99" s="569" t="s">
        <v>123</v>
      </c>
      <c r="AN99" s="570" t="s">
        <v>123</v>
      </c>
      <c r="AO99" s="569"/>
      <c r="AP99" s="575"/>
      <c r="AQ99" s="576"/>
      <c r="AR99" s="577"/>
      <c r="AS99" s="578"/>
      <c r="AT99" s="579"/>
      <c r="AU99" s="580"/>
    </row>
    <row r="100" spans="1:47" ht="21" hidden="1" customHeight="1">
      <c r="A100" t="s">
        <v>247</v>
      </c>
      <c r="B100" t="s">
        <v>151</v>
      </c>
      <c r="C100" s="759"/>
      <c r="D100" s="561" t="s">
        <v>40</v>
      </c>
      <c r="E100" s="561" t="s">
        <v>142</v>
      </c>
      <c r="F100" s="561" t="s">
        <v>44</v>
      </c>
      <c r="G100" s="562" t="s">
        <v>60</v>
      </c>
      <c r="H100" s="563">
        <v>9443.6200000000008</v>
      </c>
      <c r="I100" s="564">
        <v>291</v>
      </c>
      <c r="J100" s="565">
        <v>32.452302405498287</v>
      </c>
      <c r="K100" s="566">
        <v>314</v>
      </c>
      <c r="L100" s="567">
        <v>-7.903780068728522E-2</v>
      </c>
      <c r="M100" s="564">
        <v>206</v>
      </c>
      <c r="N100" s="568">
        <v>0.34394904458598724</v>
      </c>
      <c r="O100" s="565">
        <v>45.842815533980584</v>
      </c>
      <c r="P100" s="564">
        <v>94</v>
      </c>
      <c r="Q100" s="569">
        <v>0.29936305732484075</v>
      </c>
      <c r="R100" s="570">
        <v>100.4640425531915</v>
      </c>
      <c r="S100" s="565" t="s">
        <v>123</v>
      </c>
      <c r="T100" s="564" t="s">
        <v>123</v>
      </c>
      <c r="U100" s="565" t="s">
        <v>123</v>
      </c>
      <c r="V100" s="566" t="s">
        <v>123</v>
      </c>
      <c r="W100" s="567" t="s">
        <v>123</v>
      </c>
      <c r="X100" s="564" t="s">
        <v>123</v>
      </c>
      <c r="Y100" s="568" t="s">
        <v>123</v>
      </c>
      <c r="Z100" s="565" t="s">
        <v>123</v>
      </c>
      <c r="AA100" s="564" t="s">
        <v>123</v>
      </c>
      <c r="AB100" s="569" t="s">
        <v>123</v>
      </c>
      <c r="AC100" s="571" t="s">
        <v>123</v>
      </c>
      <c r="AD100" s="563">
        <v>9443.6200000000008</v>
      </c>
      <c r="AE100" s="564">
        <v>291</v>
      </c>
      <c r="AF100" s="565">
        <v>32.452302405498287</v>
      </c>
      <c r="AG100" s="566">
        <v>314</v>
      </c>
      <c r="AH100" s="567">
        <v>-7.903780068728522E-2</v>
      </c>
      <c r="AI100" s="564">
        <v>206</v>
      </c>
      <c r="AJ100" s="568">
        <v>0.34394904458598724</v>
      </c>
      <c r="AK100" s="565">
        <v>45.842815533980584</v>
      </c>
      <c r="AL100" s="574">
        <v>94</v>
      </c>
      <c r="AM100" s="569">
        <v>0.29936305732484075</v>
      </c>
      <c r="AN100" s="570">
        <v>100.4640425531915</v>
      </c>
      <c r="AO100" s="569"/>
      <c r="AP100" s="575"/>
      <c r="AQ100" s="576"/>
      <c r="AR100" s="577"/>
      <c r="AS100" s="578"/>
      <c r="AT100" s="579"/>
      <c r="AU100" s="580"/>
    </row>
    <row r="101" spans="1:47" ht="21" hidden="1" customHeight="1">
      <c r="A101" t="s">
        <v>248</v>
      </c>
      <c r="B101" t="s">
        <v>153</v>
      </c>
      <c r="C101" s="759"/>
      <c r="D101" s="561" t="s">
        <v>52</v>
      </c>
      <c r="E101" s="561" t="s">
        <v>145</v>
      </c>
      <c r="F101" s="561" t="s">
        <v>44</v>
      </c>
      <c r="G101" s="562" t="s">
        <v>60</v>
      </c>
      <c r="H101" s="563">
        <v>8990.4699999999993</v>
      </c>
      <c r="I101" s="564">
        <v>323</v>
      </c>
      <c r="J101" s="565">
        <v>27.834272445820432</v>
      </c>
      <c r="K101" s="566">
        <v>305</v>
      </c>
      <c r="L101" s="567">
        <v>5.5727554179566562E-2</v>
      </c>
      <c r="M101" s="564">
        <v>229</v>
      </c>
      <c r="N101" s="568">
        <v>0.24918032786885247</v>
      </c>
      <c r="O101" s="565">
        <v>39.259694323144103</v>
      </c>
      <c r="P101" s="564">
        <v>81</v>
      </c>
      <c r="Q101" s="569">
        <v>0.26557377049180325</v>
      </c>
      <c r="R101" s="570">
        <v>110.99345679012345</v>
      </c>
      <c r="S101" s="565" t="s">
        <v>123</v>
      </c>
      <c r="T101" s="564" t="s">
        <v>123</v>
      </c>
      <c r="U101" s="565" t="s">
        <v>123</v>
      </c>
      <c r="V101" s="566" t="s">
        <v>123</v>
      </c>
      <c r="W101" s="567" t="s">
        <v>123</v>
      </c>
      <c r="X101" s="564" t="s">
        <v>123</v>
      </c>
      <c r="Y101" s="568" t="s">
        <v>123</v>
      </c>
      <c r="Z101" s="565" t="s">
        <v>123</v>
      </c>
      <c r="AA101" s="564" t="s">
        <v>123</v>
      </c>
      <c r="AB101" s="569" t="s">
        <v>123</v>
      </c>
      <c r="AC101" s="571" t="s">
        <v>123</v>
      </c>
      <c r="AD101" s="563">
        <v>8990.4699999999993</v>
      </c>
      <c r="AE101" s="564">
        <v>323</v>
      </c>
      <c r="AF101" s="565">
        <v>27.834272445820432</v>
      </c>
      <c r="AG101" s="566">
        <v>305</v>
      </c>
      <c r="AH101" s="567">
        <v>5.5727554179566562E-2</v>
      </c>
      <c r="AI101" s="564">
        <v>229</v>
      </c>
      <c r="AJ101" s="568">
        <v>0.24918032786885247</v>
      </c>
      <c r="AK101" s="565">
        <v>39.259694323144103</v>
      </c>
      <c r="AL101" s="574">
        <v>81</v>
      </c>
      <c r="AM101" s="569">
        <v>0.26557377049180325</v>
      </c>
      <c r="AN101" s="570">
        <v>110.99345679012345</v>
      </c>
      <c r="AO101" s="569"/>
      <c r="AP101" s="575"/>
      <c r="AQ101" s="576"/>
      <c r="AR101" s="577"/>
      <c r="AS101" s="578"/>
      <c r="AT101" s="579"/>
      <c r="AU101" s="580"/>
    </row>
    <row r="102" spans="1:47" ht="21" hidden="1" customHeight="1">
      <c r="A102" t="s">
        <v>249</v>
      </c>
      <c r="B102" t="s">
        <v>155</v>
      </c>
      <c r="C102" s="760"/>
      <c r="D102" s="561" t="s">
        <v>40</v>
      </c>
      <c r="E102" s="561" t="s">
        <v>57</v>
      </c>
      <c r="F102" s="561" t="s">
        <v>57</v>
      </c>
      <c r="G102" s="562" t="s">
        <v>60</v>
      </c>
      <c r="H102" s="563">
        <v>14350.72</v>
      </c>
      <c r="I102" s="581">
        <v>2037</v>
      </c>
      <c r="J102" s="582">
        <v>7.0450270004909177</v>
      </c>
      <c r="K102" s="566">
        <v>1362</v>
      </c>
      <c r="L102" s="567">
        <v>0.33136966126656847</v>
      </c>
      <c r="M102" s="564">
        <v>511</v>
      </c>
      <c r="N102" s="568">
        <v>0.62481644640234946</v>
      </c>
      <c r="O102" s="586">
        <v>28.083600782778863</v>
      </c>
      <c r="P102" s="564">
        <v>111</v>
      </c>
      <c r="Q102" s="569">
        <v>8.1497797356828189E-2</v>
      </c>
      <c r="R102" s="570">
        <v>129.28576576576577</v>
      </c>
      <c r="S102" s="565">
        <v>14350.72</v>
      </c>
      <c r="T102" s="564">
        <v>2037</v>
      </c>
      <c r="U102" s="565">
        <v>7.0450270004909177</v>
      </c>
      <c r="V102" s="566">
        <v>1362</v>
      </c>
      <c r="W102" s="567">
        <v>0.33136966126656847</v>
      </c>
      <c r="X102" s="564">
        <v>511</v>
      </c>
      <c r="Y102" s="568">
        <v>0.62481644640234946</v>
      </c>
      <c r="Z102" s="586">
        <v>28.083600782778863</v>
      </c>
      <c r="AA102" s="564">
        <v>111</v>
      </c>
      <c r="AB102" s="569">
        <v>8.1497797356828189E-2</v>
      </c>
      <c r="AC102" s="571">
        <v>129.28576576576577</v>
      </c>
      <c r="AD102" s="563" t="s">
        <v>123</v>
      </c>
      <c r="AE102" s="564" t="s">
        <v>123</v>
      </c>
      <c r="AF102" s="565" t="s">
        <v>123</v>
      </c>
      <c r="AG102" s="566" t="s">
        <v>123</v>
      </c>
      <c r="AH102" s="567" t="s">
        <v>123</v>
      </c>
      <c r="AI102" s="564" t="s">
        <v>123</v>
      </c>
      <c r="AJ102" s="568" t="s">
        <v>123</v>
      </c>
      <c r="AK102" s="586" t="s">
        <v>123</v>
      </c>
      <c r="AL102" s="574" t="s">
        <v>123</v>
      </c>
      <c r="AM102" s="569" t="s">
        <v>123</v>
      </c>
      <c r="AN102" s="570" t="s">
        <v>123</v>
      </c>
      <c r="AO102" s="569"/>
      <c r="AP102" s="587"/>
      <c r="AQ102" s="576"/>
      <c r="AR102" s="588"/>
      <c r="AS102" s="578"/>
      <c r="AT102" s="579"/>
      <c r="AU102" s="580"/>
    </row>
    <row r="103" spans="1:47" ht="49.95" customHeight="1" thickBot="1">
      <c r="C103" s="758" t="s">
        <v>250</v>
      </c>
      <c r="D103" s="541"/>
      <c r="E103" s="541"/>
      <c r="F103" s="541"/>
      <c r="G103" s="542" t="s">
        <v>139</v>
      </c>
      <c r="H103" s="543">
        <v>17284.009999999998</v>
      </c>
      <c r="I103" s="544">
        <v>904</v>
      </c>
      <c r="J103" s="545">
        <v>19.119480088495575</v>
      </c>
      <c r="K103" s="546">
        <v>900</v>
      </c>
      <c r="L103" s="547">
        <v>4.4247787610619468E-3</v>
      </c>
      <c r="M103" s="544">
        <v>601</v>
      </c>
      <c r="N103" s="548">
        <v>0.3322222222222222</v>
      </c>
      <c r="O103" s="549">
        <v>28.758752079866884</v>
      </c>
      <c r="P103" s="544">
        <v>198</v>
      </c>
      <c r="Q103" s="548">
        <v>0.22</v>
      </c>
      <c r="R103" s="550">
        <v>87.292979797979797</v>
      </c>
      <c r="S103" s="545">
        <v>3510.29</v>
      </c>
      <c r="T103" s="544">
        <v>226</v>
      </c>
      <c r="U103" s="545">
        <v>15.532256637168141</v>
      </c>
      <c r="V103" s="546">
        <v>264</v>
      </c>
      <c r="W103" s="547">
        <v>-0.16814159292035399</v>
      </c>
      <c r="X103" s="544">
        <v>139</v>
      </c>
      <c r="Y103" s="548">
        <v>0.47348484848484851</v>
      </c>
      <c r="Z103" s="549">
        <v>25.253884892086329</v>
      </c>
      <c r="AA103" s="544">
        <v>38</v>
      </c>
      <c r="AB103" s="548">
        <v>0.14393939393939395</v>
      </c>
      <c r="AC103" s="551">
        <v>92.376052631578943</v>
      </c>
      <c r="AD103" s="552">
        <v>13773.72</v>
      </c>
      <c r="AE103" s="553">
        <v>678</v>
      </c>
      <c r="AF103" s="545">
        <v>20.315221238938051</v>
      </c>
      <c r="AG103" s="546">
        <v>636</v>
      </c>
      <c r="AH103" s="547">
        <v>6.1946902654867256E-2</v>
      </c>
      <c r="AI103" s="553">
        <v>462</v>
      </c>
      <c r="AJ103" s="548">
        <v>0.27358490566037735</v>
      </c>
      <c r="AK103" s="549">
        <v>29.813246753246752</v>
      </c>
      <c r="AL103" s="554">
        <v>160</v>
      </c>
      <c r="AM103" s="548">
        <v>0.25157232704402516</v>
      </c>
      <c r="AN103" s="550">
        <v>86.08574999999999</v>
      </c>
      <c r="AO103" s="592"/>
      <c r="AP103" s="555"/>
      <c r="AQ103" s="556"/>
      <c r="AR103" s="669"/>
      <c r="AS103" s="670"/>
      <c r="AT103" s="583"/>
      <c r="AU103" s="580"/>
    </row>
    <row r="104" spans="1:47" ht="21" hidden="1" customHeight="1">
      <c r="A104" t="s">
        <v>251</v>
      </c>
      <c r="B104" t="s">
        <v>141</v>
      </c>
      <c r="C104" s="759"/>
      <c r="D104" s="561" t="s">
        <v>40</v>
      </c>
      <c r="E104" s="561" t="s">
        <v>142</v>
      </c>
      <c r="F104" s="561" t="s">
        <v>44</v>
      </c>
      <c r="G104" s="562" t="s">
        <v>42</v>
      </c>
      <c r="H104" s="563">
        <v>1222.6600000000001</v>
      </c>
      <c r="I104" s="564">
        <v>112</v>
      </c>
      <c r="J104" s="565">
        <v>10.916607142857144</v>
      </c>
      <c r="K104" s="566">
        <v>112</v>
      </c>
      <c r="L104" s="567">
        <v>0</v>
      </c>
      <c r="M104" s="564">
        <v>86</v>
      </c>
      <c r="N104" s="568">
        <v>0.23214285714285715</v>
      </c>
      <c r="O104" s="565">
        <v>14.216976744186047</v>
      </c>
      <c r="P104" s="564">
        <v>38</v>
      </c>
      <c r="Q104" s="569">
        <v>0.3392857142857143</v>
      </c>
      <c r="R104" s="570">
        <v>32.17526315789474</v>
      </c>
      <c r="S104" s="565" t="s">
        <v>123</v>
      </c>
      <c r="T104" s="564" t="s">
        <v>123</v>
      </c>
      <c r="U104" s="565" t="s">
        <v>123</v>
      </c>
      <c r="V104" s="566" t="s">
        <v>123</v>
      </c>
      <c r="W104" s="567" t="s">
        <v>123</v>
      </c>
      <c r="X104" s="564" t="s">
        <v>123</v>
      </c>
      <c r="Y104" s="568" t="s">
        <v>123</v>
      </c>
      <c r="Z104" s="565" t="s">
        <v>123</v>
      </c>
      <c r="AA104" s="591" t="s">
        <v>123</v>
      </c>
      <c r="AB104" s="569" t="s">
        <v>123</v>
      </c>
      <c r="AC104" s="571" t="s">
        <v>123</v>
      </c>
      <c r="AD104" s="563">
        <v>1222.6600000000001</v>
      </c>
      <c r="AE104" s="564">
        <v>112</v>
      </c>
      <c r="AF104" s="565">
        <v>10.916607142857144</v>
      </c>
      <c r="AG104" s="566">
        <v>112</v>
      </c>
      <c r="AH104" s="567">
        <v>0</v>
      </c>
      <c r="AI104" s="564">
        <v>86</v>
      </c>
      <c r="AJ104" s="568">
        <v>0.23214285714285715</v>
      </c>
      <c r="AK104" s="565">
        <v>14.216976744186047</v>
      </c>
      <c r="AL104" s="591">
        <v>38</v>
      </c>
      <c r="AM104" s="569">
        <v>0.3392857142857143</v>
      </c>
      <c r="AN104" s="570">
        <v>32.17526315789474</v>
      </c>
      <c r="AO104" s="569"/>
      <c r="AP104" s="575"/>
      <c r="AQ104" s="576"/>
      <c r="AR104" s="577"/>
      <c r="AS104" s="578"/>
      <c r="AT104" s="579"/>
      <c r="AU104" s="580"/>
    </row>
    <row r="105" spans="1:47" ht="21" hidden="1" customHeight="1">
      <c r="A105" t="s">
        <v>252</v>
      </c>
      <c r="B105" t="s">
        <v>144</v>
      </c>
      <c r="C105" s="759"/>
      <c r="D105" s="561" t="s">
        <v>52</v>
      </c>
      <c r="E105" s="561" t="s">
        <v>145</v>
      </c>
      <c r="F105" s="561" t="s">
        <v>44</v>
      </c>
      <c r="G105" s="562" t="s">
        <v>42</v>
      </c>
      <c r="H105" s="563">
        <v>2386.35</v>
      </c>
      <c r="I105" s="564">
        <v>168</v>
      </c>
      <c r="J105" s="565">
        <v>14.204464285714286</v>
      </c>
      <c r="K105" s="566">
        <v>139</v>
      </c>
      <c r="L105" s="567">
        <v>0.17261904761904762</v>
      </c>
      <c r="M105" s="564">
        <v>97</v>
      </c>
      <c r="N105" s="568">
        <v>0.30215827338129497</v>
      </c>
      <c r="O105" s="565">
        <v>24.601546391752578</v>
      </c>
      <c r="P105" s="564">
        <v>21</v>
      </c>
      <c r="Q105" s="569">
        <v>0.15107913669064749</v>
      </c>
      <c r="R105" s="570">
        <v>113.63571428571429</v>
      </c>
      <c r="S105" s="565" t="s">
        <v>123</v>
      </c>
      <c r="T105" s="564" t="s">
        <v>123</v>
      </c>
      <c r="U105" s="565" t="s">
        <v>123</v>
      </c>
      <c r="V105" s="566" t="s">
        <v>123</v>
      </c>
      <c r="W105" s="567" t="s">
        <v>123</v>
      </c>
      <c r="X105" s="564" t="s">
        <v>123</v>
      </c>
      <c r="Y105" s="568" t="s">
        <v>123</v>
      </c>
      <c r="Z105" s="565" t="s">
        <v>123</v>
      </c>
      <c r="AA105" s="591" t="s">
        <v>123</v>
      </c>
      <c r="AB105" s="569" t="s">
        <v>123</v>
      </c>
      <c r="AC105" s="571" t="s">
        <v>123</v>
      </c>
      <c r="AD105" s="563">
        <v>2386.35</v>
      </c>
      <c r="AE105" s="564">
        <v>168</v>
      </c>
      <c r="AF105" s="565">
        <v>14.204464285714286</v>
      </c>
      <c r="AG105" s="566">
        <v>139</v>
      </c>
      <c r="AH105" s="567">
        <v>0.17261904761904762</v>
      </c>
      <c r="AI105" s="564">
        <v>97</v>
      </c>
      <c r="AJ105" s="568">
        <v>0.30215827338129497</v>
      </c>
      <c r="AK105" s="565">
        <v>24.601546391752578</v>
      </c>
      <c r="AL105" s="591">
        <v>21</v>
      </c>
      <c r="AM105" s="569">
        <v>0.15107913669064749</v>
      </c>
      <c r="AN105" s="570">
        <v>113.63571428571429</v>
      </c>
      <c r="AO105" s="569"/>
      <c r="AP105" s="575"/>
      <c r="AQ105" s="576"/>
      <c r="AR105" s="577"/>
      <c r="AS105" s="578"/>
      <c r="AT105" s="579"/>
      <c r="AU105" s="580"/>
    </row>
    <row r="106" spans="1:47" ht="21" hidden="1" customHeight="1">
      <c r="A106" t="s">
        <v>253</v>
      </c>
      <c r="B106" t="s">
        <v>147</v>
      </c>
      <c r="C106" s="759"/>
      <c r="D106" s="561" t="s">
        <v>40</v>
      </c>
      <c r="E106" s="561" t="s">
        <v>57</v>
      </c>
      <c r="F106" s="561" t="s">
        <v>57</v>
      </c>
      <c r="G106" s="562" t="s">
        <v>42</v>
      </c>
      <c r="H106" s="563">
        <v>0</v>
      </c>
      <c r="I106" s="564">
        <v>0</v>
      </c>
      <c r="J106" s="565" t="s">
        <v>123</v>
      </c>
      <c r="K106" s="566">
        <v>13</v>
      </c>
      <c r="L106" s="567" t="s">
        <v>123</v>
      </c>
      <c r="M106" s="564">
        <v>0</v>
      </c>
      <c r="N106" s="568">
        <v>1</v>
      </c>
      <c r="O106" s="565" t="s">
        <v>123</v>
      </c>
      <c r="P106" s="564">
        <v>0</v>
      </c>
      <c r="Q106" s="569">
        <v>0</v>
      </c>
      <c r="R106" s="570" t="s">
        <v>123</v>
      </c>
      <c r="S106" s="565">
        <v>0</v>
      </c>
      <c r="T106" s="564">
        <v>0</v>
      </c>
      <c r="U106" s="565" t="s">
        <v>123</v>
      </c>
      <c r="V106" s="566">
        <v>13</v>
      </c>
      <c r="W106" s="567" t="s">
        <v>123</v>
      </c>
      <c r="X106" s="564">
        <v>0</v>
      </c>
      <c r="Y106" s="568">
        <v>1</v>
      </c>
      <c r="Z106" s="565" t="s">
        <v>123</v>
      </c>
      <c r="AA106" s="591">
        <v>0</v>
      </c>
      <c r="AB106" s="569">
        <v>0</v>
      </c>
      <c r="AC106" s="571" t="s">
        <v>123</v>
      </c>
      <c r="AD106" s="563" t="s">
        <v>123</v>
      </c>
      <c r="AE106" s="564" t="s">
        <v>123</v>
      </c>
      <c r="AF106" s="565" t="s">
        <v>123</v>
      </c>
      <c r="AG106" s="566" t="s">
        <v>123</v>
      </c>
      <c r="AH106" s="567" t="s">
        <v>123</v>
      </c>
      <c r="AI106" s="564" t="s">
        <v>123</v>
      </c>
      <c r="AJ106" s="568" t="s">
        <v>123</v>
      </c>
      <c r="AK106" s="565" t="s">
        <v>123</v>
      </c>
      <c r="AL106" s="591" t="s">
        <v>123</v>
      </c>
      <c r="AM106" s="569" t="s">
        <v>123</v>
      </c>
      <c r="AN106" s="570" t="s">
        <v>123</v>
      </c>
      <c r="AO106" s="569"/>
      <c r="AP106" s="575"/>
      <c r="AQ106" s="576"/>
      <c r="AR106" s="577"/>
      <c r="AS106" s="578"/>
      <c r="AT106" s="579"/>
      <c r="AU106" s="580"/>
    </row>
    <row r="107" spans="1:47" ht="21" hidden="1" customHeight="1">
      <c r="A107" t="s">
        <v>254</v>
      </c>
      <c r="B107" t="s">
        <v>149</v>
      </c>
      <c r="C107" s="759"/>
      <c r="D107" s="561" t="s">
        <v>52</v>
      </c>
      <c r="E107" s="561" t="s">
        <v>121</v>
      </c>
      <c r="F107" s="561" t="s">
        <v>44</v>
      </c>
      <c r="G107" s="562" t="s">
        <v>42</v>
      </c>
      <c r="H107" s="563">
        <v>0</v>
      </c>
      <c r="I107" s="564">
        <v>0</v>
      </c>
      <c r="J107" s="565" t="s">
        <v>123</v>
      </c>
      <c r="K107" s="566">
        <v>0</v>
      </c>
      <c r="L107" s="567" t="s">
        <v>123</v>
      </c>
      <c r="M107" s="564">
        <v>0</v>
      </c>
      <c r="N107" s="568" t="s">
        <v>123</v>
      </c>
      <c r="O107" s="565" t="s">
        <v>123</v>
      </c>
      <c r="P107" s="564">
        <v>0</v>
      </c>
      <c r="Q107" s="569" t="s">
        <v>123</v>
      </c>
      <c r="R107" s="570" t="s">
        <v>123</v>
      </c>
      <c r="S107" s="565" t="s">
        <v>123</v>
      </c>
      <c r="T107" s="564" t="s">
        <v>123</v>
      </c>
      <c r="U107" s="565" t="s">
        <v>123</v>
      </c>
      <c r="V107" s="566" t="s">
        <v>123</v>
      </c>
      <c r="W107" s="567" t="s">
        <v>123</v>
      </c>
      <c r="X107" s="564" t="s">
        <v>123</v>
      </c>
      <c r="Y107" s="568" t="s">
        <v>123</v>
      </c>
      <c r="Z107" s="565" t="s">
        <v>123</v>
      </c>
      <c r="AA107" s="591" t="s">
        <v>123</v>
      </c>
      <c r="AB107" s="569" t="s">
        <v>123</v>
      </c>
      <c r="AC107" s="571" t="s">
        <v>123</v>
      </c>
      <c r="AD107" s="563">
        <v>0</v>
      </c>
      <c r="AE107" s="564">
        <v>0</v>
      </c>
      <c r="AF107" s="565" t="s">
        <v>123</v>
      </c>
      <c r="AG107" s="566">
        <v>0</v>
      </c>
      <c r="AH107" s="567" t="s">
        <v>123</v>
      </c>
      <c r="AI107" s="564">
        <v>0</v>
      </c>
      <c r="AJ107" s="568" t="s">
        <v>123</v>
      </c>
      <c r="AK107" s="565" t="s">
        <v>123</v>
      </c>
      <c r="AL107" s="591">
        <v>0</v>
      </c>
      <c r="AM107" s="569" t="s">
        <v>123</v>
      </c>
      <c r="AN107" s="570" t="s">
        <v>123</v>
      </c>
      <c r="AO107" s="569"/>
      <c r="AP107" s="575"/>
      <c r="AQ107" s="576"/>
      <c r="AR107" s="577"/>
      <c r="AS107" s="578"/>
      <c r="AT107" s="579"/>
      <c r="AU107" s="580"/>
    </row>
    <row r="108" spans="1:47" ht="21" hidden="1" customHeight="1">
      <c r="A108" t="s">
        <v>255</v>
      </c>
      <c r="B108" t="s">
        <v>151</v>
      </c>
      <c r="C108" s="759"/>
      <c r="D108" s="561" t="s">
        <v>40</v>
      </c>
      <c r="E108" s="561" t="s">
        <v>142</v>
      </c>
      <c r="F108" s="561" t="s">
        <v>44</v>
      </c>
      <c r="G108" s="562" t="s">
        <v>60</v>
      </c>
      <c r="H108" s="563">
        <v>6601.22</v>
      </c>
      <c r="I108" s="564">
        <v>215</v>
      </c>
      <c r="J108" s="565">
        <v>30.703348837209305</v>
      </c>
      <c r="K108" s="566">
        <v>218</v>
      </c>
      <c r="L108" s="567">
        <v>-1.3953488372093023E-2</v>
      </c>
      <c r="M108" s="564">
        <v>152</v>
      </c>
      <c r="N108" s="568">
        <v>0.30275229357798167</v>
      </c>
      <c r="O108" s="565">
        <v>43.429078947368424</v>
      </c>
      <c r="P108" s="564">
        <v>60</v>
      </c>
      <c r="Q108" s="569">
        <v>0.27522935779816515</v>
      </c>
      <c r="R108" s="570">
        <v>110.02033333333334</v>
      </c>
      <c r="S108" s="565" t="s">
        <v>123</v>
      </c>
      <c r="T108" s="564" t="s">
        <v>123</v>
      </c>
      <c r="U108" s="565" t="s">
        <v>123</v>
      </c>
      <c r="V108" s="566" t="s">
        <v>123</v>
      </c>
      <c r="W108" s="567" t="s">
        <v>123</v>
      </c>
      <c r="X108" s="564" t="s">
        <v>123</v>
      </c>
      <c r="Y108" s="568" t="s">
        <v>123</v>
      </c>
      <c r="Z108" s="565" t="s">
        <v>123</v>
      </c>
      <c r="AA108" s="591" t="s">
        <v>123</v>
      </c>
      <c r="AB108" s="569" t="s">
        <v>123</v>
      </c>
      <c r="AC108" s="571" t="s">
        <v>123</v>
      </c>
      <c r="AD108" s="563">
        <v>6601.22</v>
      </c>
      <c r="AE108" s="564">
        <v>215</v>
      </c>
      <c r="AF108" s="565">
        <v>30.703348837209305</v>
      </c>
      <c r="AG108" s="566">
        <v>218</v>
      </c>
      <c r="AH108" s="567">
        <v>-1.3953488372093023E-2</v>
      </c>
      <c r="AI108" s="564">
        <v>152</v>
      </c>
      <c r="AJ108" s="568">
        <v>0.30275229357798167</v>
      </c>
      <c r="AK108" s="565">
        <v>43.429078947368424</v>
      </c>
      <c r="AL108" s="591">
        <v>60</v>
      </c>
      <c r="AM108" s="569">
        <v>0.27522935779816515</v>
      </c>
      <c r="AN108" s="570">
        <v>110.02033333333334</v>
      </c>
      <c r="AO108" s="569"/>
      <c r="AP108" s="575"/>
      <c r="AQ108" s="576"/>
      <c r="AR108" s="577"/>
      <c r="AS108" s="578"/>
      <c r="AT108" s="579"/>
      <c r="AU108" s="580"/>
    </row>
    <row r="109" spans="1:47" ht="21" hidden="1" customHeight="1">
      <c r="A109" t="s">
        <v>256</v>
      </c>
      <c r="B109" t="s">
        <v>153</v>
      </c>
      <c r="C109" s="759"/>
      <c r="D109" s="561" t="s">
        <v>52</v>
      </c>
      <c r="E109" s="561" t="s">
        <v>145</v>
      </c>
      <c r="F109" s="561" t="s">
        <v>44</v>
      </c>
      <c r="G109" s="562" t="s">
        <v>60</v>
      </c>
      <c r="H109" s="563">
        <v>3563.49</v>
      </c>
      <c r="I109" s="564">
        <v>183</v>
      </c>
      <c r="J109" s="565">
        <v>19.47262295081967</v>
      </c>
      <c r="K109" s="566">
        <v>167</v>
      </c>
      <c r="L109" s="567">
        <v>8.7431693989071038E-2</v>
      </c>
      <c r="M109" s="564">
        <v>127</v>
      </c>
      <c r="N109" s="568">
        <v>0.23952095808383234</v>
      </c>
      <c r="O109" s="565">
        <v>28.058976377952753</v>
      </c>
      <c r="P109" s="564">
        <v>41</v>
      </c>
      <c r="Q109" s="569">
        <v>0.24550898203592814</v>
      </c>
      <c r="R109" s="570">
        <v>86.914390243902432</v>
      </c>
      <c r="S109" s="565" t="s">
        <v>123</v>
      </c>
      <c r="T109" s="564" t="s">
        <v>123</v>
      </c>
      <c r="U109" s="565" t="s">
        <v>123</v>
      </c>
      <c r="V109" s="566" t="s">
        <v>123</v>
      </c>
      <c r="W109" s="567" t="s">
        <v>123</v>
      </c>
      <c r="X109" s="564" t="s">
        <v>123</v>
      </c>
      <c r="Y109" s="568" t="s">
        <v>123</v>
      </c>
      <c r="Z109" s="565" t="s">
        <v>123</v>
      </c>
      <c r="AA109" s="591" t="s">
        <v>123</v>
      </c>
      <c r="AB109" s="569" t="s">
        <v>123</v>
      </c>
      <c r="AC109" s="571" t="s">
        <v>123</v>
      </c>
      <c r="AD109" s="563">
        <v>3563.49</v>
      </c>
      <c r="AE109" s="564">
        <v>183</v>
      </c>
      <c r="AF109" s="565">
        <v>19.47262295081967</v>
      </c>
      <c r="AG109" s="566">
        <v>167</v>
      </c>
      <c r="AH109" s="567">
        <v>8.7431693989071038E-2</v>
      </c>
      <c r="AI109" s="564">
        <v>127</v>
      </c>
      <c r="AJ109" s="568">
        <v>0.23952095808383234</v>
      </c>
      <c r="AK109" s="565">
        <v>28.058976377952753</v>
      </c>
      <c r="AL109" s="591">
        <v>41</v>
      </c>
      <c r="AM109" s="569">
        <v>0.24550898203592814</v>
      </c>
      <c r="AN109" s="570">
        <v>86.914390243902432</v>
      </c>
      <c r="AO109" s="569"/>
      <c r="AP109" s="575"/>
      <c r="AQ109" s="576"/>
      <c r="AR109" s="577"/>
      <c r="AS109" s="578"/>
      <c r="AT109" s="579"/>
      <c r="AU109" s="580"/>
    </row>
    <row r="110" spans="1:47" ht="21" hidden="1" customHeight="1">
      <c r="A110" t="s">
        <v>257</v>
      </c>
      <c r="B110" t="s">
        <v>155</v>
      </c>
      <c r="C110" s="759"/>
      <c r="D110" s="561" t="s">
        <v>40</v>
      </c>
      <c r="E110" s="561" t="s">
        <v>57</v>
      </c>
      <c r="F110" s="561" t="s">
        <v>57</v>
      </c>
      <c r="G110" s="562" t="s">
        <v>60</v>
      </c>
      <c r="H110" s="563">
        <v>3510.29</v>
      </c>
      <c r="I110" s="581">
        <v>226</v>
      </c>
      <c r="J110" s="582">
        <v>15.532256637168141</v>
      </c>
      <c r="K110" s="566">
        <v>251</v>
      </c>
      <c r="L110" s="567">
        <v>-0.11061946902654868</v>
      </c>
      <c r="M110" s="564">
        <v>139</v>
      </c>
      <c r="N110" s="568">
        <v>0.44621513944223107</v>
      </c>
      <c r="O110" s="586">
        <v>25.253884892086329</v>
      </c>
      <c r="P110" s="564">
        <v>38</v>
      </c>
      <c r="Q110" s="569">
        <v>0.15139442231075698</v>
      </c>
      <c r="R110" s="570">
        <v>92.376052631578943</v>
      </c>
      <c r="S110" s="565">
        <v>3510.29</v>
      </c>
      <c r="T110" s="564">
        <v>226</v>
      </c>
      <c r="U110" s="565">
        <v>15.532256637168141</v>
      </c>
      <c r="V110" s="566">
        <v>251</v>
      </c>
      <c r="W110" s="567">
        <v>-0.11061946902654868</v>
      </c>
      <c r="X110" s="564">
        <v>139</v>
      </c>
      <c r="Y110" s="568">
        <v>0.44621513944223107</v>
      </c>
      <c r="Z110" s="586">
        <v>25.253884892086329</v>
      </c>
      <c r="AA110" s="591">
        <v>38</v>
      </c>
      <c r="AB110" s="569">
        <v>0.15139442231075698</v>
      </c>
      <c r="AC110" s="571">
        <v>92.376052631578943</v>
      </c>
      <c r="AD110" s="563" t="s">
        <v>123</v>
      </c>
      <c r="AE110" s="564" t="s">
        <v>123</v>
      </c>
      <c r="AF110" s="565" t="s">
        <v>123</v>
      </c>
      <c r="AG110" s="566" t="s">
        <v>123</v>
      </c>
      <c r="AH110" s="567" t="s">
        <v>123</v>
      </c>
      <c r="AI110" s="564" t="s">
        <v>123</v>
      </c>
      <c r="AJ110" s="568" t="s">
        <v>123</v>
      </c>
      <c r="AK110" s="586" t="s">
        <v>123</v>
      </c>
      <c r="AL110" s="591" t="s">
        <v>123</v>
      </c>
      <c r="AM110" s="569" t="s">
        <v>123</v>
      </c>
      <c r="AN110" s="570" t="s">
        <v>123</v>
      </c>
      <c r="AO110" s="569"/>
      <c r="AP110" s="587"/>
      <c r="AQ110" s="576"/>
      <c r="AR110" s="588"/>
      <c r="AS110" s="578"/>
      <c r="AT110" s="579"/>
      <c r="AU110" s="580"/>
    </row>
    <row r="111" spans="1:47" ht="30" customHeight="1" thickBot="1">
      <c r="C111" s="593" t="s">
        <v>258</v>
      </c>
      <c r="D111" s="594"/>
      <c r="E111" s="594"/>
      <c r="F111" s="594"/>
      <c r="G111" s="594"/>
      <c r="H111" s="595">
        <f>SUMIF($G:$G,"tot",H:H)</f>
        <v>1392848.6500000004</v>
      </c>
      <c r="I111" s="596">
        <f>SUMIF($G:$G,"tot",I:I)</f>
        <v>119880</v>
      </c>
      <c r="J111" s="597">
        <v>24.028959882616117</v>
      </c>
      <c r="K111" s="598">
        <f>SUMIF($G:$G,"tot",K:K)</f>
        <v>65569</v>
      </c>
      <c r="L111" s="599">
        <v>0.316599716161932</v>
      </c>
      <c r="M111" s="596">
        <f>SUMIF($G:$G,"tot",M:M)</f>
        <v>36210</v>
      </c>
      <c r="N111" s="600">
        <v>0.28094752032663406</v>
      </c>
      <c r="O111" s="597">
        <v>48.89891571785207</v>
      </c>
      <c r="P111" s="596">
        <f>SUMIF($G:$G,"tot",P:P)</f>
        <v>9413</v>
      </c>
      <c r="Q111" s="601">
        <v>0.19615641828869099</v>
      </c>
      <c r="R111" s="602">
        <v>179.24922827920329</v>
      </c>
      <c r="S111" s="597">
        <f>SUMIF($G:$G,"tot",S:S)</f>
        <v>1064102.06</v>
      </c>
      <c r="T111" s="596">
        <f>SUMIF($G:$G,"tot",T:T)</f>
        <v>105930</v>
      </c>
      <c r="U111" s="644">
        <v>17.674687304792677</v>
      </c>
      <c r="V111" s="598">
        <f>SUMIF($G:$G,"tot",V:V)</f>
        <v>52504</v>
      </c>
      <c r="W111" s="599">
        <v>0.42208535271943998</v>
      </c>
      <c r="X111" s="596">
        <f>SUMIF($G:$G,"tot",X:X)</f>
        <v>25880</v>
      </c>
      <c r="Y111" s="600">
        <v>0.34459262710383787</v>
      </c>
      <c r="Z111" s="644">
        <v>46.663436040518931</v>
      </c>
      <c r="AA111" s="596">
        <f>SUMIF($G:$G,"tot",AA:AA)</f>
        <v>5439</v>
      </c>
      <c r="AB111" s="601">
        <v>0.1075068429328519</v>
      </c>
      <c r="AC111" s="603">
        <v>284.48012416034669</v>
      </c>
      <c r="AD111" s="595">
        <f>SUMIF($G:$G,"tot",AD:AD)</f>
        <v>328746.58999999997</v>
      </c>
      <c r="AE111" s="596">
        <f>SUMIF($G:$G,"tot",AE:AE)</f>
        <v>13950</v>
      </c>
      <c r="AF111" s="597">
        <v>39.946517157069387</v>
      </c>
      <c r="AG111" s="598">
        <f>SUMIF($G:$G,"tot",AG:AG)</f>
        <v>13065</v>
      </c>
      <c r="AH111" s="599">
        <v>5.2356462355619256E-2</v>
      </c>
      <c r="AI111" s="596">
        <f>SUMIF($G:$G,"tot",AI:AI)</f>
        <v>10330</v>
      </c>
      <c r="AJ111" s="600">
        <v>0.18371886120996442</v>
      </c>
      <c r="AK111" s="597">
        <v>51.6409416893733</v>
      </c>
      <c r="AL111" s="596">
        <f>SUMIF($G:$G,"tot",AL:AL)</f>
        <v>3974</v>
      </c>
      <c r="AM111" s="601">
        <v>0.33158362989323842</v>
      </c>
      <c r="AN111" s="603">
        <v>127.12788838207675</v>
      </c>
      <c r="AO111" s="645">
        <v>0.81589999999999996</v>
      </c>
      <c r="AP111" s="601">
        <v>0.75419999999999998</v>
      </c>
      <c r="AQ111" s="646">
        <v>0.77310000000000001</v>
      </c>
      <c r="AR111" s="604">
        <v>0.77829999999999999</v>
      </c>
      <c r="AS111" s="647">
        <v>1.94</v>
      </c>
      <c r="AT111" s="605"/>
      <c r="AU111" s="606"/>
    </row>
    <row r="112" spans="1:47">
      <c r="H112"/>
      <c r="I112"/>
      <c r="J112"/>
      <c r="AQ112" s="609"/>
    </row>
    <row r="113" spans="8:45">
      <c r="H113" s="463">
        <f>S113+AD113</f>
        <v>846505.15</v>
      </c>
      <c r="I113" s="464">
        <f>T113+AE113</f>
        <v>71899</v>
      </c>
      <c r="J113" s="463">
        <f t="shared" ref="J113" si="0">IFERROR(H113/I113,"-")</f>
        <v>11.773531620745768</v>
      </c>
      <c r="K113" s="464">
        <f>V113+AG113</f>
        <v>43787</v>
      </c>
      <c r="L113" s="183">
        <f t="shared" ref="L113" si="1">IFERROR((I113-K113)/I113,"-")</f>
        <v>0.39099292062476532</v>
      </c>
      <c r="M113" s="464">
        <f>X113+AI113</f>
        <v>28990</v>
      </c>
      <c r="N113" s="183">
        <f t="shared" ref="N113" si="2">IFERROR((K113-M113)/K113,"-")</f>
        <v>0.33793134948729076</v>
      </c>
      <c r="O113" s="463">
        <f t="shared" ref="O113" si="3">IFERROR(H113/M113,"-")</f>
        <v>29.199901690238015</v>
      </c>
      <c r="P113" s="464">
        <f>AA113+AL113</f>
        <v>7820</v>
      </c>
      <c r="Q113" s="183">
        <f>IFERROR(P113/K113,"-")</f>
        <v>0.17859181948980291</v>
      </c>
      <c r="R113" s="463">
        <f t="shared" ref="R113" si="4">IFERROR(H113/P113,"-")</f>
        <v>108.24874040920716</v>
      </c>
      <c r="S113" s="463">
        <f>S111-S87</f>
        <v>517758.56000000006</v>
      </c>
      <c r="T113" s="464">
        <f>T111-T87</f>
        <v>57949</v>
      </c>
      <c r="U113" s="463">
        <f t="shared" ref="U113" si="5">IFERROR(S113/T113,"-")</f>
        <v>8.934728123004712</v>
      </c>
      <c r="V113" s="464">
        <f>V111-V87</f>
        <v>30722</v>
      </c>
      <c r="W113" s="183">
        <f t="shared" ref="W113" si="6">IFERROR((T113-V113)/T113,"-")</f>
        <v>0.46984417332482009</v>
      </c>
      <c r="X113" s="464">
        <f>X111-X87</f>
        <v>18660</v>
      </c>
      <c r="Y113" s="183">
        <f t="shared" ref="Y113" si="7">IFERROR((V113-X113)/V113,"-")</f>
        <v>0.39261766812056509</v>
      </c>
      <c r="Z113" s="463">
        <f t="shared" ref="Z113" si="8">IFERROR(S113/X113,"-")</f>
        <v>27.746975348338694</v>
      </c>
      <c r="AA113" s="464">
        <f>AA111-AA87</f>
        <v>3846</v>
      </c>
      <c r="AB113" s="183">
        <f>IFERROR(AA113/V113,"-")</f>
        <v>0.12518716229412147</v>
      </c>
      <c r="AC113" s="463">
        <f t="shared" ref="AC113" si="9">IFERROR(S113/AA113,"-")</f>
        <v>134.62261050442018</v>
      </c>
      <c r="AD113" s="463">
        <f>AD111</f>
        <v>328746.58999999997</v>
      </c>
      <c r="AE113" s="464">
        <f>AE111</f>
        <v>13950</v>
      </c>
      <c r="AF113" s="463">
        <f t="shared" ref="AF113" si="10">IFERROR(AD113/AE113,"-")</f>
        <v>23.566063799283153</v>
      </c>
      <c r="AG113" s="464">
        <f>AG111</f>
        <v>13065</v>
      </c>
      <c r="AH113" s="183">
        <f t="shared" ref="AH113" si="11">IFERROR((AE113-AG113)/AE113,"-")</f>
        <v>6.3440860215053768E-2</v>
      </c>
      <c r="AI113" s="464">
        <f>AI111</f>
        <v>10330</v>
      </c>
      <c r="AJ113" s="183">
        <f t="shared" ref="AJ113" si="12">IFERROR((AG113-AI113)/AG113,"-")</f>
        <v>0.20933792575583621</v>
      </c>
      <c r="AK113" s="463">
        <f t="shared" ref="AK113" si="13">IFERROR(AD113/AI113,"-")</f>
        <v>31.824452081316551</v>
      </c>
      <c r="AL113" s="464">
        <f>AL111</f>
        <v>3974</v>
      </c>
      <c r="AM113" s="183">
        <f>IFERROR(AL113/AG113,"-")</f>
        <v>0.30417145044010718</v>
      </c>
      <c r="AN113" s="463">
        <f t="shared" ref="AN113" si="14">IFERROR(AD113/AL113,"-")</f>
        <v>82.724355812783088</v>
      </c>
      <c r="AS113"/>
    </row>
    <row r="114" spans="8:45">
      <c r="H114"/>
      <c r="I114"/>
      <c r="J114"/>
      <c r="K114"/>
      <c r="L114"/>
      <c r="M114"/>
      <c r="N114"/>
      <c r="AB114"/>
      <c r="AS114"/>
    </row>
    <row r="115" spans="8:45">
      <c r="H115"/>
      <c r="I115"/>
      <c r="J115"/>
      <c r="K115"/>
      <c r="L115"/>
      <c r="M115"/>
      <c r="N115"/>
      <c r="R115" s="461" t="s">
        <v>572</v>
      </c>
      <c r="S115" s="730">
        <f>S3-S87</f>
        <v>649615.62969999993</v>
      </c>
      <c r="T115" s="731">
        <f>S115/U115</f>
        <v>84268.904916810032</v>
      </c>
      <c r="U115" s="730">
        <f>U3</f>
        <v>7.7088414800370106</v>
      </c>
      <c r="V115" s="731">
        <f>T115*(1-W115)</f>
        <v>54928.91999532027</v>
      </c>
      <c r="W115" s="732">
        <f>W3</f>
        <v>0.34817095286160532</v>
      </c>
      <c r="X115" s="731">
        <f>V115*(1-Y115)</f>
        <v>34758.816003252599</v>
      </c>
      <c r="Y115" s="733">
        <f>Y3</f>
        <v>0.36720372426375908</v>
      </c>
      <c r="Z115" s="730">
        <f>Z3</f>
        <v>18.689233535434905</v>
      </c>
      <c r="AA115" s="731">
        <f>V115*AB115</f>
        <v>8107.9258827360045</v>
      </c>
      <c r="AB115" s="732">
        <f>AB3</f>
        <v>0.14760759693485268</v>
      </c>
      <c r="AC115" s="730">
        <f>S115/AA115</f>
        <v>80.12106167413414</v>
      </c>
      <c r="AE115"/>
      <c r="AG115"/>
      <c r="AH115"/>
      <c r="AI115"/>
      <c r="AJ115"/>
      <c r="AL115" s="607"/>
      <c r="AS115"/>
    </row>
    <row r="116" spans="8:45">
      <c r="H116"/>
      <c r="I116"/>
      <c r="J116"/>
      <c r="K116"/>
      <c r="L116"/>
      <c r="M116"/>
      <c r="N116"/>
      <c r="T116"/>
      <c r="W116"/>
      <c r="AB116"/>
      <c r="AC116" s="462" t="s">
        <v>259</v>
      </c>
      <c r="AD116" s="463">
        <f>SUMIF($E:$E,"MCB",$AD:$AD)</f>
        <v>18705.439999999999</v>
      </c>
      <c r="AE116" s="464">
        <f>SUMIF($E:$E,"MCB",$AE:$AE)</f>
        <v>139</v>
      </c>
      <c r="AF116" s="463">
        <f>IFERROR(AD116/AE116,"-")</f>
        <v>134.5715107913669</v>
      </c>
      <c r="AG116" s="464">
        <f>SUMIF($E:$E,"MCB",$AG:$AG)</f>
        <v>141</v>
      </c>
      <c r="AH116" s="183">
        <f>IFERROR((AE116-AG116)/AE116,"-")</f>
        <v>-1.4388489208633094E-2</v>
      </c>
      <c r="AI116" s="464">
        <f>SUMIF($E:$E,"MCB",$AI:$AI)</f>
        <v>123</v>
      </c>
      <c r="AJ116" s="183">
        <f t="shared" ref="AJ116:AJ117" si="15">IFERROR((AG116-AI116)/AG116,"-")</f>
        <v>0.1276595744680851</v>
      </c>
      <c r="AK116" s="463">
        <f t="shared" ref="AK116:AK117" si="16">IFERROR(AD116/AI116,"-")</f>
        <v>152.07674796747966</v>
      </c>
      <c r="AL116" s="464">
        <f>SUMIF($E:$E,"MCB",$AL:$AL)</f>
        <v>72</v>
      </c>
      <c r="AM116" s="183">
        <f>IFERROR(AL116/AG116,"-")</f>
        <v>0.51063829787234039</v>
      </c>
      <c r="AN116" s="463">
        <f t="shared" ref="AN116:AN117" si="17">IFERROR(AD116/AL116,"-")</f>
        <v>259.79777777777775</v>
      </c>
      <c r="AS116"/>
    </row>
    <row r="117" spans="8:45">
      <c r="H117"/>
      <c r="I117"/>
      <c r="J117"/>
      <c r="K117"/>
      <c r="L117"/>
      <c r="M117"/>
      <c r="N117"/>
      <c r="T117"/>
      <c r="W117"/>
      <c r="AB117"/>
      <c r="AC117" s="462" t="s">
        <v>260</v>
      </c>
      <c r="AD117" s="463">
        <f>AD113-AD116</f>
        <v>310041.14999999997</v>
      </c>
      <c r="AE117" s="464">
        <f>AE113-AE116</f>
        <v>13811</v>
      </c>
      <c r="AF117" s="463">
        <f>IFERROR(AD117/AE117,"-")</f>
        <v>22.448855984360289</v>
      </c>
      <c r="AG117" s="464">
        <f>AG113-AG116</f>
        <v>12924</v>
      </c>
      <c r="AH117" s="183">
        <f>IFERROR((AE117-AG117)/AE117,"-")</f>
        <v>6.4224169140540147E-2</v>
      </c>
      <c r="AI117" s="464">
        <f>AI113-AI116</f>
        <v>10207</v>
      </c>
      <c r="AJ117" s="183">
        <f t="shared" si="15"/>
        <v>0.21022903125967193</v>
      </c>
      <c r="AK117" s="463">
        <f t="shared" si="16"/>
        <v>30.375345351229544</v>
      </c>
      <c r="AL117" s="464">
        <f>AL113-AL116</f>
        <v>3902</v>
      </c>
      <c r="AM117" s="183">
        <f>IFERROR(AL117/AG117,"-")</f>
        <v>0.30191891055400805</v>
      </c>
      <c r="AN117" s="463">
        <f t="shared" si="17"/>
        <v>79.456983598154778</v>
      </c>
    </row>
    <row r="118" spans="8:45">
      <c r="AC118" s="462"/>
    </row>
    <row r="119" spans="8:45">
      <c r="AC119" s="462" t="s">
        <v>261</v>
      </c>
      <c r="AD119" s="463">
        <f>SUMIFS(AD:AD,$E:$E,"Brand",$G:$G,"Yandex Direct")</f>
        <v>56301.05000000001</v>
      </c>
      <c r="AE119" s="464">
        <f>SUMIFS(AE:AE,$E:$E,"Brand",$G:$G,"Yandex Direct")</f>
        <v>3095</v>
      </c>
      <c r="AF119" s="463">
        <f t="shared" ref="AF119:AF120" si="18">IFERROR(AD119/AE119,"-")</f>
        <v>18.190969305331183</v>
      </c>
      <c r="AG119" s="464">
        <f>SUMIFS(AG:AG,$E:$E,"Brand",$G:$G,"Yandex Direct")</f>
        <v>2977</v>
      </c>
      <c r="AH119" s="183">
        <f t="shared" ref="AH119:AH120" si="19">IFERROR((AE119-AG119)/AE119,"-")</f>
        <v>3.8126009693053312E-2</v>
      </c>
      <c r="AI119" s="464">
        <f>SUMIFS(AI:AI,$E:$E,"Brand",$G:$G,"Yandex Direct")</f>
        <v>2435</v>
      </c>
      <c r="AJ119" s="183">
        <f t="shared" ref="AJ119:AJ120" si="20">IFERROR((AG119-AI119)/AG119,"-")</f>
        <v>0.18206247900571046</v>
      </c>
      <c r="AK119" s="463">
        <f t="shared" ref="AK119:AK120" si="21">IFERROR(AD119/AI119,"-")</f>
        <v>23.121581108829574</v>
      </c>
      <c r="AL119" s="464">
        <f>SUMIFS(AL:AL,$E:$E,"Brand",$G:$G,"Yandex Direct")</f>
        <v>1107</v>
      </c>
      <c r="AM119" s="183">
        <f>IFERROR(AL119/AG119,"-")</f>
        <v>0.37185085656701378</v>
      </c>
      <c r="AN119" s="463">
        <f t="shared" ref="AN119:AN120" si="22">IFERROR(AD119/AL119,"-")</f>
        <v>50.859123757904257</v>
      </c>
    </row>
    <row r="120" spans="8:45">
      <c r="AC120" s="462" t="s">
        <v>262</v>
      </c>
      <c r="AD120" s="463">
        <f>SUMIFS(AD:AD,$E:$E,"Product",$G:$G,"Yandex Direct")</f>
        <v>77071.290000000008</v>
      </c>
      <c r="AE120" s="464">
        <f>SUMIFS(AE:AE,$E:$E,"Product",$G:$G,"Yandex Direct")</f>
        <v>3671</v>
      </c>
      <c r="AF120" s="463">
        <f t="shared" si="18"/>
        <v>20.99463089076546</v>
      </c>
      <c r="AG120" s="464">
        <f>SUMIFS(AG:AG,$E:$E,"Product",$G:$G,"Yandex Direct")</f>
        <v>3200</v>
      </c>
      <c r="AH120" s="183">
        <f t="shared" si="19"/>
        <v>0.12830291473712885</v>
      </c>
      <c r="AI120" s="464">
        <f>SUMIFS(AI:AI,$E:$E,"Product",$G:$G,"Yandex Direct")</f>
        <v>2438</v>
      </c>
      <c r="AJ120" s="183">
        <f t="shared" si="20"/>
        <v>0.238125</v>
      </c>
      <c r="AK120" s="463">
        <f t="shared" si="21"/>
        <v>31.612506152584089</v>
      </c>
      <c r="AL120" s="464">
        <f>SUMIFS(AL:AL,$E:$E,"Product",$G:$G,"Yandex Direct")</f>
        <v>807</v>
      </c>
      <c r="AM120" s="183">
        <f>IFERROR(AL120/AG120,"-")</f>
        <v>0.25218750000000001</v>
      </c>
      <c r="AN120" s="463">
        <f t="shared" si="22"/>
        <v>95.503457249070635</v>
      </c>
    </row>
    <row r="121" spans="8:45">
      <c r="AC121" s="462"/>
      <c r="AL121" s="607"/>
    </row>
    <row r="122" spans="8:45">
      <c r="AC122" s="462" t="s">
        <v>263</v>
      </c>
      <c r="AD122" s="463">
        <f>SUMIFS(AD:AD,$E:$E,"Brand",$G:$G,"Google Adwords")</f>
        <v>70694.909999999989</v>
      </c>
      <c r="AE122" s="464">
        <f>SUMIFS(AE:AE,$E:$E,"Brand",$G:$G,"Google Adwords")</f>
        <v>3160</v>
      </c>
      <c r="AF122" s="463">
        <f t="shared" ref="AF122:AF123" si="23">IFERROR(AD122/AE122,"-")</f>
        <v>22.371806962025314</v>
      </c>
      <c r="AG122" s="464">
        <f>SUMIFS(AG:AG,$E:$E,"Brand",$G:$G,"Google Adwords")</f>
        <v>3134</v>
      </c>
      <c r="AH122" s="183">
        <f>IFERROR((AE122-AG122)/AE122,"-")</f>
        <v>8.2278481012658233E-3</v>
      </c>
      <c r="AI122" s="464">
        <f>SUMIFS(AI:AI,$E:$E,"Brand",$G:$G,"Google Adwords")</f>
        <v>2409</v>
      </c>
      <c r="AJ122" s="183">
        <f t="shared" ref="AJ122:AJ123" si="24">IFERROR((AG122-AI122)/AG122,"-")</f>
        <v>0.23133375877472878</v>
      </c>
      <c r="AK122" s="463">
        <f t="shared" ref="AK122:AK123" si="25">IFERROR(AD122/AI122,"-")</f>
        <v>29.346164383561639</v>
      </c>
      <c r="AL122" s="464">
        <f>SUMIFS(AL:AL,$E:$E,"Brand",$G:$G,"Google Adwords")</f>
        <v>992</v>
      </c>
      <c r="AM122" s="183">
        <f>IFERROR(AL122/AG122,"-")</f>
        <v>0.31652839821314616</v>
      </c>
      <c r="AN122" s="463">
        <f t="shared" ref="AN122:AN123" si="26">IFERROR(AD122/AL122,"-")</f>
        <v>71.265030241935477</v>
      </c>
    </row>
    <row r="123" spans="8:45">
      <c r="AC123" s="462" t="s">
        <v>264</v>
      </c>
      <c r="AD123" s="463">
        <f>SUMIFS(AD:AD,$E:$E,"Product",$G:$G,"Google Adwords")</f>
        <v>105973.90000000001</v>
      </c>
      <c r="AE123" s="464">
        <f>SUMIFS(AE:AE,$E:$E,"Product",$G:$G,"Google Adwords")</f>
        <v>3885</v>
      </c>
      <c r="AF123" s="463">
        <f t="shared" si="23"/>
        <v>27.277709137709142</v>
      </c>
      <c r="AG123" s="464">
        <f>SUMIFS(AG:AG,$E:$E,"Product",$G:$G,"Google Adwords")</f>
        <v>3613</v>
      </c>
      <c r="AH123" s="183">
        <f>IFERROR((AE123-AG123)/AE123,"-")</f>
        <v>7.0012870012870015E-2</v>
      </c>
      <c r="AI123" s="464">
        <f>SUMIFS(AI:AI,$E:$E,"Product",$G:$G,"Google Adwords")</f>
        <v>2925</v>
      </c>
      <c r="AJ123" s="183">
        <f t="shared" si="24"/>
        <v>0.19042347079988928</v>
      </c>
      <c r="AK123" s="463">
        <f t="shared" si="25"/>
        <v>36.230393162393163</v>
      </c>
      <c r="AL123" s="464">
        <f>SUMIFS(AL:AL,$E:$E,"Product",$G:$G,"Google Adwords")</f>
        <v>996</v>
      </c>
      <c r="AM123" s="183">
        <f>IFERROR(AL123/AG123,"-")</f>
        <v>0.2756711873789095</v>
      </c>
      <c r="AN123" s="463">
        <f t="shared" si="26"/>
        <v>106.39949799196788</v>
      </c>
    </row>
    <row r="124" spans="8:45">
      <c r="R124" s="462" t="s">
        <v>265</v>
      </c>
      <c r="S124" s="463">
        <f>SUMIFS(S:S,$E:$E,"Network",$G:$G,"Yandex Direct")-S90</f>
        <v>88895.900000000009</v>
      </c>
      <c r="T124" s="464">
        <f>SUMIFS(T:T,$E:$E,"Network",$G:$G,"Yandex Direct")-T90</f>
        <v>11803</v>
      </c>
      <c r="U124" s="463">
        <f t="shared" ref="U124:U125" si="27">IFERROR(S124/T124,"-")</f>
        <v>7.5316360247394734</v>
      </c>
      <c r="V124" s="464">
        <f>SUMIFS(V:V,$E:$E,"Network",$G:$G,"Yandex Direct")-V90</f>
        <v>5703</v>
      </c>
      <c r="W124" s="183">
        <f t="shared" ref="W124" si="28">IFERROR((T124-V124)/T124,"-")</f>
        <v>0.51681775819706854</v>
      </c>
      <c r="X124" s="464">
        <f>SUMIFS(X:X,$E:$E,"Network",$G:$G,"Yandex Direct")-X90</f>
        <v>3129</v>
      </c>
      <c r="Y124" s="183">
        <f t="shared" ref="Y124:Y125" si="29">IFERROR((V124-X124)/V124,"-")</f>
        <v>0.4513413992635455</v>
      </c>
      <c r="Z124" s="463">
        <f t="shared" ref="Z124:Z125" si="30">IFERROR(S124/X124,"-")</f>
        <v>28.410322786832857</v>
      </c>
      <c r="AA124" s="464">
        <f>SUMIFS(AA:AA,$E:$E,"Network",$G:$G,"Yandex Direct")-AA90</f>
        <v>155</v>
      </c>
      <c r="AB124" s="183">
        <f>IFERROR(AA124/V124,"-")</f>
        <v>2.7178677888830442E-2</v>
      </c>
      <c r="AC124" s="463">
        <f t="shared" ref="AC124:AC125" si="31">IFERROR(S124/AA124,"-")</f>
        <v>573.52193548387106</v>
      </c>
    </row>
    <row r="125" spans="8:45">
      <c r="R125" s="462" t="s">
        <v>266</v>
      </c>
      <c r="S125" s="463">
        <f>SUMIFS(S:S,$E:$E,"Network",$G:$G,"Google Adwords")-S94</f>
        <v>428862.66000000003</v>
      </c>
      <c r="T125" s="464">
        <f>SUMIFS(T:T,$E:$E,"Network",$G:$G,"Google Adwords")-T94</f>
        <v>46146</v>
      </c>
      <c r="U125" s="463">
        <f t="shared" si="27"/>
        <v>9.2936042127161631</v>
      </c>
      <c r="V125" s="464">
        <f>SUMIFS(V:V,$E:$E,"Network",$G:$G,"Google Adwords")-V94</f>
        <v>25019</v>
      </c>
      <c r="W125" s="183">
        <f>IFERROR((T125-V125)/T125,"-")</f>
        <v>0.45782949768127246</v>
      </c>
      <c r="X125" s="464">
        <f>SUMIFS(X:X,$E:$E,"Network",$G:$G,"Google Adwords")-X94</f>
        <v>15531</v>
      </c>
      <c r="Y125" s="183">
        <f t="shared" si="29"/>
        <v>0.37923178384427836</v>
      </c>
      <c r="Z125" s="463">
        <f t="shared" si="30"/>
        <v>27.613332045586247</v>
      </c>
      <c r="AA125" s="464">
        <f>SUMIFS(AA:AA,$E:$E,"Network",$G:$G,"Google Adwords")-AA94</f>
        <v>3691</v>
      </c>
      <c r="AB125" s="183">
        <f>IFERROR(AA125/V125,"-")</f>
        <v>0.1475278788121028</v>
      </c>
      <c r="AC125" s="463">
        <f t="shared" si="31"/>
        <v>116.19145489027365</v>
      </c>
    </row>
    <row r="127" spans="8:45">
      <c r="AC127" s="462" t="s">
        <v>265</v>
      </c>
      <c r="AD127" s="463">
        <f>AD119+AD120</f>
        <v>133372.34000000003</v>
      </c>
      <c r="AE127" s="464">
        <f>AE119+AE120</f>
        <v>6766</v>
      </c>
      <c r="AF127" s="463">
        <f t="shared" ref="AF127:AF128" si="32">IFERROR(AD127/AE127,"-")</f>
        <v>19.712140112326342</v>
      </c>
      <c r="AG127" s="464">
        <f>AG119+AG120</f>
        <v>6177</v>
      </c>
      <c r="AH127" s="183">
        <f t="shared" ref="AH127" si="33">IFERROR((AE127-AG127)/AE127,"-")</f>
        <v>8.7052911616908063E-2</v>
      </c>
      <c r="AI127" s="464">
        <f>AI119+AI120</f>
        <v>4873</v>
      </c>
      <c r="AJ127" s="183">
        <f t="shared" ref="AJ127:AJ128" si="34">IFERROR((AG127-AI127)/AG127,"-")</f>
        <v>0.21110571474825968</v>
      </c>
      <c r="AK127" s="463">
        <f t="shared" ref="AK127:AK128" si="35">IFERROR(AD127/AI127,"-")</f>
        <v>27.369657295300641</v>
      </c>
      <c r="AL127" s="464">
        <f>AL119+AL120</f>
        <v>1914</v>
      </c>
      <c r="AM127" s="183">
        <f>IFERROR(AL127/AG127,"-")</f>
        <v>0.30985915492957744</v>
      </c>
      <c r="AN127" s="463">
        <f t="shared" ref="AN127:AN128" si="36">IFERROR(AD127/AL127,"-")</f>
        <v>69.682518286311407</v>
      </c>
    </row>
    <row r="128" spans="8:45">
      <c r="AC128" s="462" t="s">
        <v>266</v>
      </c>
      <c r="AD128" s="463">
        <f>AD122+AD123</f>
        <v>176668.81</v>
      </c>
      <c r="AE128" s="464">
        <f>AE122+AE123</f>
        <v>7045</v>
      </c>
      <c r="AF128" s="463">
        <f t="shared" si="32"/>
        <v>25.077190915542939</v>
      </c>
      <c r="AG128" s="464">
        <f>AG122+AG123</f>
        <v>6747</v>
      </c>
      <c r="AH128" s="183">
        <f>IFERROR((AE128-AG128)/AE128,"-")</f>
        <v>4.2299503193754438E-2</v>
      </c>
      <c r="AI128" s="464">
        <f>AI122+AI123</f>
        <v>5334</v>
      </c>
      <c r="AJ128" s="183">
        <f t="shared" si="34"/>
        <v>0.20942641173855048</v>
      </c>
      <c r="AK128" s="463">
        <f t="shared" si="35"/>
        <v>33.121261717285336</v>
      </c>
      <c r="AL128" s="464">
        <f>AL122+AL123</f>
        <v>1988</v>
      </c>
      <c r="AM128" s="183">
        <f>IFERROR(AL128/AG128,"-")</f>
        <v>0.29464947384022527</v>
      </c>
      <c r="AN128" s="463">
        <f t="shared" si="36"/>
        <v>88.867610663983896</v>
      </c>
    </row>
  </sheetData>
  <mergeCells count="17">
    <mergeCell ref="C71:C78"/>
    <mergeCell ref="C79:C86"/>
    <mergeCell ref="C87:C94"/>
    <mergeCell ref="C95:C102"/>
    <mergeCell ref="C103:C110"/>
    <mergeCell ref="C63:C70"/>
    <mergeCell ref="H1:R1"/>
    <mergeCell ref="S1:AC1"/>
    <mergeCell ref="AD1:AS1"/>
    <mergeCell ref="AT3:AU4"/>
    <mergeCell ref="C7:C14"/>
    <mergeCell ref="C15:C22"/>
    <mergeCell ref="C23:C30"/>
    <mergeCell ref="C31:C38"/>
    <mergeCell ref="C39:C46"/>
    <mergeCell ref="C47:C54"/>
    <mergeCell ref="C55:C62"/>
  </mergeCells>
  <conditionalFormatting sqref="AC7 AC15 AC23 AC31 AC39 AC47 AC55 AC63 AC71 AC79 AC87 AC95 AC10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5 AB23 AB31 AB39 AB47 AB55 AB63 AB71 AB79 AB87 AB95 AB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 AM15 AM23 AM31 AM39 AM47 AM55 AM63 AM71 AM79 AM87 AM95 AM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 AN15 AN23 AN31 AN39 AN47 AN55 AN63 AN71 AN79 AN87 AN95 AN10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5 AO23 AO31 AO39 AO47 AO55 AO63 AO71 AO79 AO87 AO95 AO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 R15 R23 R31 R39 R47 R55 R63 R71 R79 R87 R95 R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5 Q23 Q31 Q39 Q47 Q55 Q63 Q71 Q79 Q87 Q95 Q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B133-0D5A-40A7-B386-A1E2B9B9E836}">
  <dimension ref="A1:AU133"/>
  <sheetViews>
    <sheetView topLeftCell="C1" zoomScale="70" zoomScaleNormal="70" workbookViewId="0">
      <pane xSplit="5" ySplit="6" topLeftCell="J95" activePane="bottomRight" state="frozen"/>
      <selection activeCell="C1" sqref="C1"/>
      <selection pane="topRight" activeCell="H1" sqref="H1"/>
      <selection pane="bottomLeft" activeCell="C7" sqref="C7"/>
      <selection pane="bottomRight" activeCell="O120" sqref="O120"/>
    </sheetView>
  </sheetViews>
  <sheetFormatPr defaultColWidth="8.77734375" defaultRowHeight="14.4"/>
  <cols>
    <col min="1" max="1" width="13" hidden="1" customWidth="1"/>
    <col min="2" max="2" width="12.21875" hidden="1" customWidth="1"/>
    <col min="3" max="3" width="17.77734375" customWidth="1"/>
    <col min="4" max="7" width="17.77734375" hidden="1" customWidth="1"/>
    <col min="8" max="8" width="12.77734375" style="18" customWidth="1"/>
    <col min="9" max="9" width="12.77734375" style="607" customWidth="1"/>
    <col min="10" max="10" width="9.77734375" style="607" customWidth="1"/>
    <col min="11" max="11" width="12.77734375" style="607" customWidth="1"/>
    <col min="12" max="12" width="9.77734375" style="607" customWidth="1"/>
    <col min="13" max="13" width="12.77734375" style="607" customWidth="1"/>
    <col min="14" max="14" width="9.77734375" style="607" customWidth="1"/>
    <col min="15" max="15" width="9.77734375" customWidth="1"/>
    <col min="16" max="16" width="12.77734375" customWidth="1"/>
    <col min="17" max="18" width="9.77734375" customWidth="1"/>
    <col min="19" max="19" width="12.77734375" customWidth="1"/>
    <col min="20" max="20" width="12.77734375" style="607" customWidth="1"/>
    <col min="21" max="21" width="9.77734375" style="607" customWidth="1"/>
    <col min="22" max="22" width="12.77734375" style="607" customWidth="1"/>
    <col min="23" max="23" width="9.77734375" style="607" customWidth="1"/>
    <col min="24" max="24" width="12.77734375" style="607" customWidth="1"/>
    <col min="25" max="25" width="9.77734375" style="607" customWidth="1"/>
    <col min="26" max="26" width="9.77734375" customWidth="1"/>
    <col min="27" max="27" width="12.77734375" customWidth="1"/>
    <col min="28" max="28" width="9.77734375" style="608" customWidth="1"/>
    <col min="29" max="29" width="9.77734375" customWidth="1"/>
    <col min="30" max="30" width="12.77734375" customWidth="1"/>
    <col min="31" max="31" width="12.77734375" style="607" customWidth="1"/>
    <col min="32" max="32" width="9.77734375" customWidth="1"/>
    <col min="33" max="33" width="12.77734375" style="607" customWidth="1"/>
    <col min="34" max="34" width="9.77734375" style="607" customWidth="1"/>
    <col min="35" max="35" width="12.77734375" style="607" customWidth="1"/>
    <col min="36" max="36" width="9.77734375" style="607" customWidth="1"/>
    <col min="37" max="37" width="9.77734375" customWidth="1"/>
    <col min="38" max="38" width="12.77734375" customWidth="1"/>
    <col min="39" max="44" width="9.77734375" customWidth="1"/>
    <col min="45" max="45" width="9.77734375" style="18" customWidth="1"/>
    <col min="46" max="47" width="44.77734375" customWidth="1"/>
  </cols>
  <sheetData>
    <row r="1" spans="1:47" s="417" customFormat="1" ht="22.2" customHeight="1" thickBot="1">
      <c r="C1" s="467"/>
      <c r="D1" s="468" t="s">
        <v>7</v>
      </c>
      <c r="E1" s="469" t="s">
        <v>8</v>
      </c>
      <c r="F1" s="469" t="s">
        <v>10</v>
      </c>
      <c r="G1" s="470" t="s">
        <v>9</v>
      </c>
      <c r="H1" s="761" t="s">
        <v>124</v>
      </c>
      <c r="I1" s="762"/>
      <c r="J1" s="762"/>
      <c r="K1" s="762"/>
      <c r="L1" s="762"/>
      <c r="M1" s="762"/>
      <c r="N1" s="762"/>
      <c r="O1" s="762"/>
      <c r="P1" s="762"/>
      <c r="Q1" s="762"/>
      <c r="R1" s="763"/>
      <c r="S1" s="764" t="s">
        <v>125</v>
      </c>
      <c r="T1" s="765"/>
      <c r="U1" s="765"/>
      <c r="V1" s="765"/>
      <c r="W1" s="765"/>
      <c r="X1" s="765"/>
      <c r="Y1" s="765"/>
      <c r="Z1" s="765"/>
      <c r="AA1" s="765"/>
      <c r="AB1" s="765"/>
      <c r="AC1" s="765"/>
      <c r="AD1" s="767" t="s">
        <v>126</v>
      </c>
      <c r="AE1" s="768"/>
      <c r="AF1" s="768"/>
      <c r="AG1" s="768"/>
      <c r="AH1" s="768"/>
      <c r="AI1" s="768"/>
      <c r="AJ1" s="768"/>
      <c r="AK1" s="768"/>
      <c r="AL1" s="768"/>
      <c r="AM1" s="768"/>
      <c r="AN1" s="768"/>
      <c r="AO1" s="768"/>
      <c r="AP1" s="768"/>
      <c r="AQ1" s="768"/>
      <c r="AR1" s="768"/>
      <c r="AS1" s="769"/>
      <c r="AT1" s="471"/>
      <c r="AU1" s="471"/>
    </row>
    <row r="2" spans="1:47" ht="58.2" thickBot="1">
      <c r="C2" s="472" t="s">
        <v>70</v>
      </c>
      <c r="D2" s="472"/>
      <c r="E2" s="472"/>
      <c r="F2" s="472"/>
      <c r="G2" s="473"/>
      <c r="H2" s="474" t="s">
        <v>119</v>
      </c>
      <c r="I2" s="475" t="s">
        <v>26</v>
      </c>
      <c r="J2" s="475" t="s">
        <v>48</v>
      </c>
      <c r="K2" s="476" t="s">
        <v>28</v>
      </c>
      <c r="L2" s="476" t="s">
        <v>103</v>
      </c>
      <c r="M2" s="477" t="s">
        <v>31</v>
      </c>
      <c r="N2" s="478" t="s">
        <v>30</v>
      </c>
      <c r="O2" s="477" t="s">
        <v>32</v>
      </c>
      <c r="P2" s="479" t="s">
        <v>107</v>
      </c>
      <c r="Q2" s="479" t="s">
        <v>120</v>
      </c>
      <c r="R2" s="480" t="s">
        <v>34</v>
      </c>
      <c r="S2" s="474" t="s">
        <v>119</v>
      </c>
      <c r="T2" s="475" t="s">
        <v>26</v>
      </c>
      <c r="U2" s="475" t="s">
        <v>48</v>
      </c>
      <c r="V2" s="476" t="s">
        <v>28</v>
      </c>
      <c r="W2" s="476" t="s">
        <v>103</v>
      </c>
      <c r="X2" s="477" t="s">
        <v>31</v>
      </c>
      <c r="Y2" s="478" t="s">
        <v>30</v>
      </c>
      <c r="Z2" s="477" t="s">
        <v>32</v>
      </c>
      <c r="AA2" s="479" t="s">
        <v>107</v>
      </c>
      <c r="AB2" s="479" t="s">
        <v>120</v>
      </c>
      <c r="AC2" s="481" t="s">
        <v>34</v>
      </c>
      <c r="AD2" s="474" t="s">
        <v>119</v>
      </c>
      <c r="AE2" s="475" t="s">
        <v>26</v>
      </c>
      <c r="AF2" s="475" t="s">
        <v>48</v>
      </c>
      <c r="AG2" s="476" t="s">
        <v>28</v>
      </c>
      <c r="AH2" s="476" t="s">
        <v>103</v>
      </c>
      <c r="AI2" s="477" t="s">
        <v>31</v>
      </c>
      <c r="AJ2" s="478" t="s">
        <v>30</v>
      </c>
      <c r="AK2" s="477" t="s">
        <v>32</v>
      </c>
      <c r="AL2" s="479" t="s">
        <v>107</v>
      </c>
      <c r="AM2" s="479" t="s">
        <v>120</v>
      </c>
      <c r="AN2" s="481" t="s">
        <v>34</v>
      </c>
      <c r="AO2" s="610" t="s">
        <v>127</v>
      </c>
      <c r="AP2" s="483" t="s">
        <v>128</v>
      </c>
      <c r="AQ2" s="611" t="s">
        <v>129</v>
      </c>
      <c r="AR2" s="482" t="s">
        <v>130</v>
      </c>
      <c r="AS2" s="612" t="s">
        <v>131</v>
      </c>
      <c r="AT2" s="487" t="s">
        <v>132</v>
      </c>
      <c r="AU2" s="488" t="s">
        <v>133</v>
      </c>
    </row>
    <row r="3" spans="1:47" ht="30" customHeight="1">
      <c r="C3" s="489" t="s">
        <v>134</v>
      </c>
      <c r="D3" s="490"/>
      <c r="E3" s="490"/>
      <c r="F3" s="490"/>
      <c r="G3" s="491"/>
      <c r="H3" s="492">
        <v>1480151.6714999978</v>
      </c>
      <c r="I3" s="493">
        <v>109763.492992449</v>
      </c>
      <c r="J3" s="494">
        <v>13.484917718515231</v>
      </c>
      <c r="K3" s="495">
        <v>73364.005531484188</v>
      </c>
      <c r="L3" s="496">
        <v>0.33161743006364469</v>
      </c>
      <c r="M3" s="493">
        <v>51286.197306403345</v>
      </c>
      <c r="N3" s="496">
        <v>0.30093515294235323</v>
      </c>
      <c r="O3" s="494">
        <v>28.860624285653429</v>
      </c>
      <c r="P3" s="493">
        <v>13205.451460843529</v>
      </c>
      <c r="Q3" s="497">
        <v>0.17999905219428627</v>
      </c>
      <c r="R3" s="498">
        <v>112.08641187988961</v>
      </c>
      <c r="S3" s="494">
        <v>964893.55623333133</v>
      </c>
      <c r="T3" s="493">
        <v>96072.275884527815</v>
      </c>
      <c r="U3" s="613">
        <v>10.043413121523905</v>
      </c>
      <c r="V3" s="495">
        <v>59564.811048407246</v>
      </c>
      <c r="W3" s="496">
        <v>0.38</v>
      </c>
      <c r="X3" s="493">
        <v>40127.559316486841</v>
      </c>
      <c r="Y3" s="496">
        <v>0.32632105079833296</v>
      </c>
      <c r="Z3" s="613">
        <v>24.045657714270561</v>
      </c>
      <c r="AA3" s="493">
        <v>8861.5397234378179</v>
      </c>
      <c r="AB3" s="497">
        <v>0.14877138980993668</v>
      </c>
      <c r="AC3" s="499">
        <v>108.8855420555518</v>
      </c>
      <c r="AD3" s="492">
        <v>515258.11526666663</v>
      </c>
      <c r="AE3" s="493">
        <v>13691.217107921182</v>
      </c>
      <c r="AF3" s="494">
        <v>37.634208208454979</v>
      </c>
      <c r="AG3" s="495">
        <v>13799.194483076948</v>
      </c>
      <c r="AH3" s="496">
        <v>-7.8866162375947277E-3</v>
      </c>
      <c r="AI3" s="493">
        <v>11158.637989916504</v>
      </c>
      <c r="AJ3" s="496">
        <v>0.19135584300944297</v>
      </c>
      <c r="AK3" s="494">
        <v>46.175717478448469</v>
      </c>
      <c r="AL3" s="493">
        <v>4343.9117374057114</v>
      </c>
      <c r="AM3" s="497">
        <v>0.31479458766473628</v>
      </c>
      <c r="AN3" s="499">
        <v>118.61615668424957</v>
      </c>
      <c r="AO3" s="614">
        <v>0.85</v>
      </c>
      <c r="AP3" s="497">
        <v>0.75</v>
      </c>
      <c r="AQ3" s="615">
        <v>0.8</v>
      </c>
      <c r="AR3" s="500" t="s">
        <v>123</v>
      </c>
      <c r="AS3" s="616" t="s">
        <v>123</v>
      </c>
      <c r="AT3" s="770"/>
      <c r="AU3" s="771"/>
    </row>
    <row r="4" spans="1:47" ht="30" hidden="1" customHeight="1" thickBot="1">
      <c r="C4" s="490" t="s">
        <v>135</v>
      </c>
      <c r="D4" s="490"/>
      <c r="E4" s="490"/>
      <c r="F4" s="490"/>
      <c r="G4" s="491"/>
      <c r="H4" s="492">
        <v>113857.82088461523</v>
      </c>
      <c r="I4" s="493">
        <v>8443.3456148037694</v>
      </c>
      <c r="J4" s="494">
        <v>13.484917718515231</v>
      </c>
      <c r="K4" s="495">
        <v>5643.3850408833987</v>
      </c>
      <c r="L4" s="503">
        <v>0.33161743006364475</v>
      </c>
      <c r="M4" s="493">
        <v>3945.0921004925649</v>
      </c>
      <c r="N4" s="496">
        <v>0.30093515294235323</v>
      </c>
      <c r="O4" s="494">
        <v>28.860624285653433</v>
      </c>
      <c r="P4" s="493">
        <v>1015.8039585264253</v>
      </c>
      <c r="Q4" s="497">
        <v>0.17999905219428627</v>
      </c>
      <c r="R4" s="498">
        <v>112.08641187988962</v>
      </c>
      <c r="S4" s="494">
        <v>74222.58124871779</v>
      </c>
      <c r="T4" s="493">
        <v>7390.1750680406012</v>
      </c>
      <c r="U4" s="613">
        <v>10.043413121523905</v>
      </c>
      <c r="V4" s="495">
        <v>4581.9085421851723</v>
      </c>
      <c r="W4" s="503">
        <v>0.38000000000000006</v>
      </c>
      <c r="X4" s="493">
        <v>3086.7353320374491</v>
      </c>
      <c r="Y4" s="496">
        <v>0.32632105079833296</v>
      </c>
      <c r="Z4" s="613">
        <v>24.045657714270561</v>
      </c>
      <c r="AA4" s="504">
        <v>681.65690180290903</v>
      </c>
      <c r="AB4" s="497">
        <v>0.1487713898099367</v>
      </c>
      <c r="AC4" s="499">
        <v>108.8855420555518</v>
      </c>
      <c r="AD4" s="492">
        <v>39635.239635897437</v>
      </c>
      <c r="AE4" s="493">
        <v>1053.1705467631677</v>
      </c>
      <c r="AF4" s="494">
        <v>37.634208208454986</v>
      </c>
      <c r="AG4" s="495">
        <v>1061.4764986982268</v>
      </c>
      <c r="AH4" s="503">
        <v>-7.8866162375948613E-3</v>
      </c>
      <c r="AI4" s="493">
        <v>858.35676845511568</v>
      </c>
      <c r="AJ4" s="496">
        <v>0.191355843009443</v>
      </c>
      <c r="AK4" s="494">
        <v>46.175717478448476</v>
      </c>
      <c r="AL4" s="504">
        <v>334.14705672351624</v>
      </c>
      <c r="AM4" s="497">
        <v>0.31479458766473623</v>
      </c>
      <c r="AN4" s="499">
        <v>118.61615668424959</v>
      </c>
      <c r="AO4" s="614">
        <v>0.85</v>
      </c>
      <c r="AP4" s="497">
        <v>0.75</v>
      </c>
      <c r="AQ4" s="615">
        <v>0.8</v>
      </c>
      <c r="AR4" s="500" t="s">
        <v>123</v>
      </c>
      <c r="AS4" s="616" t="s">
        <v>123</v>
      </c>
      <c r="AT4" s="772"/>
      <c r="AU4" s="773"/>
    </row>
    <row r="5" spans="1:47" ht="30" hidden="1" customHeight="1">
      <c r="C5" s="505" t="s">
        <v>136</v>
      </c>
      <c r="D5" s="506"/>
      <c r="E5" s="506"/>
      <c r="F5" s="506"/>
      <c r="G5" s="507"/>
      <c r="H5" s="508">
        <v>1216082.56</v>
      </c>
      <c r="I5" s="509">
        <v>82607</v>
      </c>
      <c r="J5" s="510">
        <v>14.721301584611474</v>
      </c>
      <c r="K5" s="511">
        <v>52210</v>
      </c>
      <c r="L5" s="512">
        <v>0.36797123730434467</v>
      </c>
      <c r="M5" s="509">
        <v>24473</v>
      </c>
      <c r="N5" s="513">
        <v>0.53125837962076228</v>
      </c>
      <c r="O5" s="514">
        <v>49.69078412944878</v>
      </c>
      <c r="P5" s="509">
        <v>7922</v>
      </c>
      <c r="Q5" s="515">
        <v>0.15173338440911702</v>
      </c>
      <c r="R5" s="516">
        <v>153.50701338045948</v>
      </c>
      <c r="S5" s="510">
        <v>636119.36</v>
      </c>
      <c r="T5" s="509">
        <v>67404</v>
      </c>
      <c r="U5" s="617">
        <v>9.4374126164619305</v>
      </c>
      <c r="V5" s="511">
        <v>37120</v>
      </c>
      <c r="W5" s="512">
        <v>0.44929084327339625</v>
      </c>
      <c r="X5" s="509">
        <v>13549</v>
      </c>
      <c r="Y5" s="513">
        <v>0.63499461206896557</v>
      </c>
      <c r="Z5" s="618">
        <v>46.949543139715104</v>
      </c>
      <c r="AA5" s="509">
        <v>3366</v>
      </c>
      <c r="AB5" s="515">
        <v>9.0678879310344823E-2</v>
      </c>
      <c r="AC5" s="517">
        <v>188.98376708259062</v>
      </c>
      <c r="AD5" s="508">
        <v>579963.20000000007</v>
      </c>
      <c r="AE5" s="509">
        <v>15203</v>
      </c>
      <c r="AF5" s="514">
        <v>38.147944484641194</v>
      </c>
      <c r="AG5" s="511">
        <v>15090</v>
      </c>
      <c r="AH5" s="512">
        <v>7.4327435374597116E-3</v>
      </c>
      <c r="AI5" s="509">
        <v>10924</v>
      </c>
      <c r="AJ5" s="513">
        <v>0.27607687210072895</v>
      </c>
      <c r="AK5" s="514">
        <v>53.090735994141347</v>
      </c>
      <c r="AL5" s="509">
        <v>4556</v>
      </c>
      <c r="AM5" s="515">
        <v>0.30192180251822398</v>
      </c>
      <c r="AN5" s="517">
        <v>127.29657594381038</v>
      </c>
      <c r="AO5" s="619" t="s">
        <v>123</v>
      </c>
      <c r="AP5" s="515" t="s">
        <v>123</v>
      </c>
      <c r="AQ5" s="620">
        <v>0.7873</v>
      </c>
      <c r="AR5" s="518">
        <v>0.86870000000000003</v>
      </c>
      <c r="AS5" s="621">
        <v>2.3199999999999998</v>
      </c>
      <c r="AT5" s="521"/>
      <c r="AU5" s="522"/>
    </row>
    <row r="6" spans="1:47" ht="30" hidden="1" customHeight="1">
      <c r="C6" s="523" t="s">
        <v>137</v>
      </c>
      <c r="D6" s="524"/>
      <c r="E6" s="524"/>
      <c r="F6" s="524"/>
      <c r="G6" s="525"/>
      <c r="H6" s="526">
        <v>263903.56000000006</v>
      </c>
      <c r="I6" s="527">
        <v>18908</v>
      </c>
      <c r="J6" s="528">
        <v>13.957243494817012</v>
      </c>
      <c r="K6" s="529">
        <v>15061</v>
      </c>
      <c r="L6" s="530">
        <v>0.20345885339538819</v>
      </c>
      <c r="M6" s="527">
        <v>9871.0326999999997</v>
      </c>
      <c r="N6" s="531">
        <v>0.34459646105836267</v>
      </c>
      <c r="O6" s="532">
        <v>26.735152037334458</v>
      </c>
      <c r="P6" s="527">
        <v>3343</v>
      </c>
      <c r="Q6" s="533">
        <v>0.2219640130137441</v>
      </c>
      <c r="R6" s="534">
        <v>78.942135806162142</v>
      </c>
      <c r="S6" s="528">
        <v>168441.02000000005</v>
      </c>
      <c r="T6" s="527">
        <v>15498</v>
      </c>
      <c r="U6" s="622">
        <v>10.868564976125954</v>
      </c>
      <c r="V6" s="529">
        <v>11717</v>
      </c>
      <c r="W6" s="530">
        <v>0.24396696347915861</v>
      </c>
      <c r="X6" s="527">
        <v>7367.1102000000001</v>
      </c>
      <c r="Y6" s="531">
        <v>0.37124603567466075</v>
      </c>
      <c r="Z6" s="623">
        <v>22.863920238358869</v>
      </c>
      <c r="AA6" s="527">
        <v>2466</v>
      </c>
      <c r="AB6" s="533">
        <v>0.21046342920542802</v>
      </c>
      <c r="AC6" s="535">
        <v>68.305360908353634</v>
      </c>
      <c r="AD6" s="526">
        <v>95462.540000000008</v>
      </c>
      <c r="AE6" s="527">
        <v>3410</v>
      </c>
      <c r="AF6" s="532">
        <v>27.994879765395897</v>
      </c>
      <c r="AG6" s="529">
        <v>3344</v>
      </c>
      <c r="AH6" s="530">
        <v>1.935483870967742E-2</v>
      </c>
      <c r="AI6" s="527">
        <v>2503.9224999999997</v>
      </c>
      <c r="AJ6" s="531">
        <v>0.25121934808612451</v>
      </c>
      <c r="AK6" s="532">
        <v>38.125197565020493</v>
      </c>
      <c r="AL6" s="527">
        <v>877</v>
      </c>
      <c r="AM6" s="533">
        <v>0.26226076555023925</v>
      </c>
      <c r="AN6" s="535">
        <v>108.85124287343217</v>
      </c>
      <c r="AO6" s="624" t="s">
        <v>123</v>
      </c>
      <c r="AP6" s="533" t="s">
        <v>123</v>
      </c>
      <c r="AQ6" s="625">
        <v>0.67330000000000001</v>
      </c>
      <c r="AR6" s="536"/>
      <c r="AS6" s="626"/>
      <c r="AT6" s="539"/>
      <c r="AU6" s="540"/>
    </row>
    <row r="7" spans="1:47" ht="49.95" customHeight="1">
      <c r="C7" s="758" t="s">
        <v>138</v>
      </c>
      <c r="D7" s="541"/>
      <c r="E7" s="541"/>
      <c r="F7" s="541"/>
      <c r="G7" s="542" t="s">
        <v>139</v>
      </c>
      <c r="H7" s="543">
        <v>42139.63</v>
      </c>
      <c r="I7" s="544">
        <v>1250</v>
      </c>
      <c r="J7" s="545">
        <v>33.711703999999997</v>
      </c>
      <c r="K7" s="546">
        <v>1033</v>
      </c>
      <c r="L7" s="547">
        <v>0.1736</v>
      </c>
      <c r="M7" s="544">
        <v>582</v>
      </c>
      <c r="N7" s="548">
        <v>0.4365924491771539</v>
      </c>
      <c r="O7" s="549">
        <v>72.404862542955328</v>
      </c>
      <c r="P7" s="544">
        <v>220</v>
      </c>
      <c r="Q7" s="548">
        <v>0.21297192642787996</v>
      </c>
      <c r="R7" s="550">
        <v>191.54377272727271</v>
      </c>
      <c r="S7" s="545">
        <v>22360.489999999998</v>
      </c>
      <c r="T7" s="544">
        <v>795</v>
      </c>
      <c r="U7" s="627">
        <v>28.126402515723267</v>
      </c>
      <c r="V7" s="546">
        <v>493</v>
      </c>
      <c r="W7" s="547">
        <v>0.37987421383647801</v>
      </c>
      <c r="X7" s="544">
        <v>251</v>
      </c>
      <c r="Y7" s="548">
        <v>0.49087221095334688</v>
      </c>
      <c r="Z7" s="628">
        <v>89.085617529880466</v>
      </c>
      <c r="AA7" s="629">
        <v>97</v>
      </c>
      <c r="AB7" s="548">
        <v>0.19675456389452334</v>
      </c>
      <c r="AC7" s="551">
        <v>230.52051546391749</v>
      </c>
      <c r="AD7" s="552">
        <v>19779.14</v>
      </c>
      <c r="AE7" s="553">
        <v>455</v>
      </c>
      <c r="AF7" s="549">
        <v>43.470637362637362</v>
      </c>
      <c r="AG7" s="546">
        <v>540</v>
      </c>
      <c r="AH7" s="547">
        <v>-0.18681318681318682</v>
      </c>
      <c r="AI7" s="553">
        <v>331</v>
      </c>
      <c r="AJ7" s="548">
        <v>0.38703703703703701</v>
      </c>
      <c r="AK7" s="549">
        <v>59.755709969788519</v>
      </c>
      <c r="AL7" s="554">
        <v>123</v>
      </c>
      <c r="AM7" s="548">
        <v>0.22777777777777777</v>
      </c>
      <c r="AN7" s="551">
        <v>160.80601626016261</v>
      </c>
      <c r="AO7" s="630">
        <v>0.84279999999999999</v>
      </c>
      <c r="AP7" s="555">
        <v>0.64790000000000003</v>
      </c>
      <c r="AQ7" s="631">
        <v>0.66169999999999995</v>
      </c>
      <c r="AR7" s="632">
        <v>0.65429999999999999</v>
      </c>
      <c r="AS7" s="633">
        <v>2.31</v>
      </c>
      <c r="AT7" s="579"/>
      <c r="AU7" s="580"/>
    </row>
    <row r="8" spans="1:47" ht="21.6" hidden="1" customHeight="1">
      <c r="A8" t="s">
        <v>267</v>
      </c>
      <c r="B8" t="s">
        <v>268</v>
      </c>
      <c r="C8" s="759"/>
      <c r="D8" s="561" t="s">
        <v>40</v>
      </c>
      <c r="E8" s="561" t="s">
        <v>142</v>
      </c>
      <c r="F8" s="561" t="s">
        <v>44</v>
      </c>
      <c r="G8" s="562" t="s">
        <v>42</v>
      </c>
      <c r="H8" s="563">
        <v>900.43</v>
      </c>
      <c r="I8" s="564">
        <v>25</v>
      </c>
      <c r="J8" s="565">
        <v>36.017199999999995</v>
      </c>
      <c r="K8" s="566">
        <v>64</v>
      </c>
      <c r="L8" s="567">
        <v>-1.56</v>
      </c>
      <c r="M8" s="564">
        <v>18</v>
      </c>
      <c r="N8" s="568">
        <v>0.71875</v>
      </c>
      <c r="O8" s="565">
        <v>50.023888888888884</v>
      </c>
      <c r="P8" s="564">
        <v>10</v>
      </c>
      <c r="Q8" s="569">
        <v>0.15625</v>
      </c>
      <c r="R8" s="570">
        <v>90.042999999999992</v>
      </c>
      <c r="S8" s="565" t="s">
        <v>123</v>
      </c>
      <c r="T8" s="564" t="s">
        <v>123</v>
      </c>
      <c r="U8" s="634" t="s">
        <v>123</v>
      </c>
      <c r="V8" s="566" t="s">
        <v>123</v>
      </c>
      <c r="W8" s="567" t="s">
        <v>123</v>
      </c>
      <c r="X8" s="564" t="s">
        <v>123</v>
      </c>
      <c r="Y8" s="568" t="s">
        <v>123</v>
      </c>
      <c r="Z8" s="634" t="s">
        <v>123</v>
      </c>
      <c r="AA8" s="591" t="s">
        <v>123</v>
      </c>
      <c r="AB8" s="569" t="s">
        <v>123</v>
      </c>
      <c r="AC8" s="571" t="s">
        <v>123</v>
      </c>
      <c r="AD8" s="572">
        <v>900.43</v>
      </c>
      <c r="AE8" s="573">
        <v>25</v>
      </c>
      <c r="AF8" s="565">
        <v>36.017199999999995</v>
      </c>
      <c r="AG8" s="566">
        <v>64</v>
      </c>
      <c r="AH8" s="567">
        <v>-1.56</v>
      </c>
      <c r="AI8" s="564">
        <v>18</v>
      </c>
      <c r="AJ8" s="568">
        <v>0.71875</v>
      </c>
      <c r="AK8" s="565">
        <v>50.023888888888884</v>
      </c>
      <c r="AL8" s="574">
        <v>10</v>
      </c>
      <c r="AM8" s="569">
        <v>0.15625</v>
      </c>
      <c r="AN8" s="571">
        <v>90.042999999999992</v>
      </c>
      <c r="AO8" s="635"/>
      <c r="AP8" s="575"/>
      <c r="AQ8" s="636"/>
      <c r="AR8" s="637"/>
      <c r="AS8" s="638"/>
      <c r="AT8" s="579"/>
      <c r="AU8" s="580"/>
    </row>
    <row r="9" spans="1:47" ht="21.6" hidden="1" customHeight="1">
      <c r="A9" t="s">
        <v>269</v>
      </c>
      <c r="B9" t="s">
        <v>270</v>
      </c>
      <c r="C9" s="759"/>
      <c r="D9" s="561" t="s">
        <v>52</v>
      </c>
      <c r="E9" s="561" t="s">
        <v>145</v>
      </c>
      <c r="F9" s="561" t="s">
        <v>44</v>
      </c>
      <c r="G9" s="562" t="s">
        <v>42</v>
      </c>
      <c r="H9" s="563">
        <v>3980.55</v>
      </c>
      <c r="I9" s="564">
        <v>122</v>
      </c>
      <c r="J9" s="565">
        <v>32.627459016393445</v>
      </c>
      <c r="K9" s="566">
        <v>167</v>
      </c>
      <c r="L9" s="567">
        <v>-0.36885245901639346</v>
      </c>
      <c r="M9" s="564">
        <v>86</v>
      </c>
      <c r="N9" s="568">
        <v>0.48502994011976047</v>
      </c>
      <c r="O9" s="565">
        <v>46.28546511627907</v>
      </c>
      <c r="P9" s="564">
        <v>30</v>
      </c>
      <c r="Q9" s="569">
        <v>0.17964071856287425</v>
      </c>
      <c r="R9" s="570">
        <v>132.685</v>
      </c>
      <c r="S9" s="565" t="s">
        <v>123</v>
      </c>
      <c r="T9" s="564" t="s">
        <v>123</v>
      </c>
      <c r="U9" s="634" t="s">
        <v>123</v>
      </c>
      <c r="V9" s="566" t="s">
        <v>123</v>
      </c>
      <c r="W9" s="567" t="s">
        <v>123</v>
      </c>
      <c r="X9" s="564" t="s">
        <v>123</v>
      </c>
      <c r="Y9" s="568" t="s">
        <v>123</v>
      </c>
      <c r="Z9" s="634" t="s">
        <v>123</v>
      </c>
      <c r="AA9" s="591" t="s">
        <v>123</v>
      </c>
      <c r="AB9" s="569" t="s">
        <v>123</v>
      </c>
      <c r="AC9" s="571" t="s">
        <v>123</v>
      </c>
      <c r="AD9" s="572">
        <v>3980.55</v>
      </c>
      <c r="AE9" s="573">
        <v>122</v>
      </c>
      <c r="AF9" s="565">
        <v>32.627459016393445</v>
      </c>
      <c r="AG9" s="566">
        <v>167</v>
      </c>
      <c r="AH9" s="567">
        <v>-0.36885245901639346</v>
      </c>
      <c r="AI9" s="564">
        <v>86</v>
      </c>
      <c r="AJ9" s="568">
        <v>0.48502994011976047</v>
      </c>
      <c r="AK9" s="565">
        <v>46.28546511627907</v>
      </c>
      <c r="AL9" s="574">
        <v>30</v>
      </c>
      <c r="AM9" s="569">
        <v>0.17964071856287425</v>
      </c>
      <c r="AN9" s="571">
        <v>132.685</v>
      </c>
      <c r="AO9" s="635"/>
      <c r="AP9" s="575"/>
      <c r="AQ9" s="636"/>
      <c r="AR9" s="637"/>
      <c r="AS9" s="638"/>
      <c r="AT9" s="579"/>
      <c r="AU9" s="580"/>
    </row>
    <row r="10" spans="1:47" ht="21.6" hidden="1" customHeight="1">
      <c r="A10" t="s">
        <v>271</v>
      </c>
      <c r="B10" t="s">
        <v>272</v>
      </c>
      <c r="C10" s="759"/>
      <c r="D10" s="561" t="s">
        <v>40</v>
      </c>
      <c r="E10" s="561" t="s">
        <v>57</v>
      </c>
      <c r="F10" s="561" t="s">
        <v>57</v>
      </c>
      <c r="G10" s="562" t="s">
        <v>42</v>
      </c>
      <c r="H10" s="563">
        <v>259.55</v>
      </c>
      <c r="I10" s="564">
        <v>12</v>
      </c>
      <c r="J10" s="565">
        <v>21.629166666666666</v>
      </c>
      <c r="K10" s="566">
        <v>19</v>
      </c>
      <c r="L10" s="567">
        <v>-0.58333333333333337</v>
      </c>
      <c r="M10" s="564">
        <v>8</v>
      </c>
      <c r="N10" s="568">
        <v>0.57894736842105265</v>
      </c>
      <c r="O10" s="565">
        <v>32.443750000000001</v>
      </c>
      <c r="P10" s="564">
        <v>2</v>
      </c>
      <c r="Q10" s="569">
        <v>0.10526315789473684</v>
      </c>
      <c r="R10" s="570">
        <v>129.77500000000001</v>
      </c>
      <c r="S10" s="565">
        <v>259.55</v>
      </c>
      <c r="T10" s="564">
        <v>12</v>
      </c>
      <c r="U10" s="634">
        <v>21.629166666666666</v>
      </c>
      <c r="V10" s="566">
        <v>19</v>
      </c>
      <c r="W10" s="567">
        <v>-0.58333333333333337</v>
      </c>
      <c r="X10" s="564">
        <v>8</v>
      </c>
      <c r="Y10" s="568">
        <v>0.57894736842105265</v>
      </c>
      <c r="Z10" s="634">
        <v>32.443750000000001</v>
      </c>
      <c r="AA10" s="591">
        <v>2</v>
      </c>
      <c r="AB10" s="569">
        <v>0.10526315789473684</v>
      </c>
      <c r="AC10" s="571">
        <v>129.77500000000001</v>
      </c>
      <c r="AD10" s="572" t="s">
        <v>123</v>
      </c>
      <c r="AE10" s="573" t="s">
        <v>123</v>
      </c>
      <c r="AF10" s="565" t="s">
        <v>123</v>
      </c>
      <c r="AG10" s="566" t="s">
        <v>123</v>
      </c>
      <c r="AH10" s="567" t="s">
        <v>123</v>
      </c>
      <c r="AI10" s="564" t="s">
        <v>123</v>
      </c>
      <c r="AJ10" s="568" t="s">
        <v>123</v>
      </c>
      <c r="AK10" s="565" t="s">
        <v>123</v>
      </c>
      <c r="AL10" s="574" t="s">
        <v>123</v>
      </c>
      <c r="AM10" s="569" t="s">
        <v>123</v>
      </c>
      <c r="AN10" s="571" t="s">
        <v>123</v>
      </c>
      <c r="AO10" s="635"/>
      <c r="AP10" s="575"/>
      <c r="AQ10" s="636"/>
      <c r="AR10" s="637"/>
      <c r="AS10" s="638"/>
      <c r="AT10" s="579"/>
      <c r="AU10" s="580"/>
    </row>
    <row r="11" spans="1:47" ht="21.6" hidden="1" customHeight="1">
      <c r="A11" t="s">
        <v>273</v>
      </c>
      <c r="B11" t="s">
        <v>274</v>
      </c>
      <c r="C11" s="759"/>
      <c r="D11" s="561" t="s">
        <v>52</v>
      </c>
      <c r="E11" s="561" t="s">
        <v>121</v>
      </c>
      <c r="F11" s="561" t="s">
        <v>44</v>
      </c>
      <c r="G11" s="562" t="s">
        <v>42</v>
      </c>
      <c r="H11" s="563">
        <v>454.95</v>
      </c>
      <c r="I11" s="564">
        <v>2</v>
      </c>
      <c r="J11" s="565">
        <v>227.47499999999999</v>
      </c>
      <c r="K11" s="566">
        <v>1</v>
      </c>
      <c r="L11" s="567">
        <v>0.5</v>
      </c>
      <c r="M11" s="564">
        <v>1</v>
      </c>
      <c r="N11" s="568">
        <v>0</v>
      </c>
      <c r="O11" s="565">
        <v>454.95</v>
      </c>
      <c r="P11" s="564">
        <v>0</v>
      </c>
      <c r="Q11" s="569">
        <v>0</v>
      </c>
      <c r="R11" s="570" t="s">
        <v>123</v>
      </c>
      <c r="S11" s="565" t="s">
        <v>123</v>
      </c>
      <c r="T11" s="564" t="s">
        <v>123</v>
      </c>
      <c r="U11" s="634" t="s">
        <v>123</v>
      </c>
      <c r="V11" s="566" t="s">
        <v>123</v>
      </c>
      <c r="W11" s="567" t="s">
        <v>123</v>
      </c>
      <c r="X11" s="564" t="s">
        <v>123</v>
      </c>
      <c r="Y11" s="568" t="s">
        <v>123</v>
      </c>
      <c r="Z11" s="634" t="s">
        <v>123</v>
      </c>
      <c r="AA11" s="591" t="s">
        <v>123</v>
      </c>
      <c r="AB11" s="569" t="s">
        <v>123</v>
      </c>
      <c r="AC11" s="571" t="s">
        <v>123</v>
      </c>
      <c r="AD11" s="572">
        <v>454.95</v>
      </c>
      <c r="AE11" s="573">
        <v>2</v>
      </c>
      <c r="AF11" s="565">
        <v>227.47499999999999</v>
      </c>
      <c r="AG11" s="566">
        <v>1</v>
      </c>
      <c r="AH11" s="567">
        <v>0.5</v>
      </c>
      <c r="AI11" s="564">
        <v>1</v>
      </c>
      <c r="AJ11" s="568">
        <v>0</v>
      </c>
      <c r="AK11" s="565">
        <v>454.95</v>
      </c>
      <c r="AL11" s="574">
        <v>0</v>
      </c>
      <c r="AM11" s="569">
        <v>0</v>
      </c>
      <c r="AN11" s="571" t="s">
        <v>123</v>
      </c>
      <c r="AO11" s="635"/>
      <c r="AP11" s="575"/>
      <c r="AQ11" s="636"/>
      <c r="AR11" s="637"/>
      <c r="AS11" s="638"/>
      <c r="AT11" s="579"/>
      <c r="AU11" s="580"/>
    </row>
    <row r="12" spans="1:47" ht="21.6" hidden="1" customHeight="1">
      <c r="A12" t="s">
        <v>275</v>
      </c>
      <c r="B12" t="s">
        <v>276</v>
      </c>
      <c r="C12" s="759"/>
      <c r="D12" s="561" t="s">
        <v>40</v>
      </c>
      <c r="E12" s="561" t="s">
        <v>142</v>
      </c>
      <c r="F12" s="561" t="s">
        <v>44</v>
      </c>
      <c r="G12" s="562" t="s">
        <v>60</v>
      </c>
      <c r="H12" s="563">
        <v>1283.08</v>
      </c>
      <c r="I12" s="564">
        <v>45</v>
      </c>
      <c r="J12" s="565">
        <v>28.512888888888888</v>
      </c>
      <c r="K12" s="566">
        <v>73</v>
      </c>
      <c r="L12" s="567">
        <v>-0.62222222222222223</v>
      </c>
      <c r="M12" s="564">
        <v>42</v>
      </c>
      <c r="N12" s="568">
        <v>0.42465753424657532</v>
      </c>
      <c r="O12" s="565">
        <v>30.549523809523809</v>
      </c>
      <c r="P12" s="564">
        <v>12</v>
      </c>
      <c r="Q12" s="569">
        <v>0.16438356164383561</v>
      </c>
      <c r="R12" s="570">
        <v>106.92333333333333</v>
      </c>
      <c r="S12" s="565" t="s">
        <v>123</v>
      </c>
      <c r="T12" s="564" t="s">
        <v>123</v>
      </c>
      <c r="U12" s="634" t="s">
        <v>123</v>
      </c>
      <c r="V12" s="566" t="s">
        <v>123</v>
      </c>
      <c r="W12" s="567" t="s">
        <v>123</v>
      </c>
      <c r="X12" s="564" t="s">
        <v>123</v>
      </c>
      <c r="Y12" s="568" t="s">
        <v>123</v>
      </c>
      <c r="Z12" s="634" t="s">
        <v>123</v>
      </c>
      <c r="AA12" s="591" t="s">
        <v>123</v>
      </c>
      <c r="AB12" s="569" t="s">
        <v>123</v>
      </c>
      <c r="AC12" s="571" t="s">
        <v>123</v>
      </c>
      <c r="AD12" s="572">
        <v>1283.08</v>
      </c>
      <c r="AE12" s="573">
        <v>45</v>
      </c>
      <c r="AF12" s="565">
        <v>28.512888888888888</v>
      </c>
      <c r="AG12" s="566">
        <v>73</v>
      </c>
      <c r="AH12" s="567">
        <v>-0.62222222222222223</v>
      </c>
      <c r="AI12" s="564">
        <v>42</v>
      </c>
      <c r="AJ12" s="568">
        <v>0.42465753424657532</v>
      </c>
      <c r="AK12" s="565">
        <v>30.549523809523809</v>
      </c>
      <c r="AL12" s="574">
        <v>12</v>
      </c>
      <c r="AM12" s="569">
        <v>0.16438356164383561</v>
      </c>
      <c r="AN12" s="571">
        <v>106.92333333333333</v>
      </c>
      <c r="AO12" s="635"/>
      <c r="AP12" s="575"/>
      <c r="AQ12" s="636"/>
      <c r="AR12" s="637"/>
      <c r="AS12" s="638"/>
      <c r="AT12" s="579"/>
      <c r="AU12" s="580"/>
    </row>
    <row r="13" spans="1:47" ht="21.6" hidden="1" customHeight="1">
      <c r="A13" t="s">
        <v>277</v>
      </c>
      <c r="B13" t="s">
        <v>278</v>
      </c>
      <c r="C13" s="759"/>
      <c r="D13" s="561" t="s">
        <v>52</v>
      </c>
      <c r="E13" s="561" t="s">
        <v>145</v>
      </c>
      <c r="F13" s="561" t="s">
        <v>44</v>
      </c>
      <c r="G13" s="562" t="s">
        <v>60</v>
      </c>
      <c r="H13" s="563">
        <v>13160.13</v>
      </c>
      <c r="I13" s="564">
        <v>261</v>
      </c>
      <c r="J13" s="565">
        <v>50.421954022988501</v>
      </c>
      <c r="K13" s="566">
        <v>235</v>
      </c>
      <c r="L13" s="567">
        <v>9.9616858237547887E-2</v>
      </c>
      <c r="M13" s="564">
        <v>184</v>
      </c>
      <c r="N13" s="568">
        <v>0.21702127659574469</v>
      </c>
      <c r="O13" s="565">
        <v>71.522445652173914</v>
      </c>
      <c r="P13" s="564">
        <v>71</v>
      </c>
      <c r="Q13" s="569">
        <v>0.30212765957446808</v>
      </c>
      <c r="R13" s="570">
        <v>185.35394366197181</v>
      </c>
      <c r="S13" s="565" t="s">
        <v>123</v>
      </c>
      <c r="T13" s="564" t="s">
        <v>123</v>
      </c>
      <c r="U13" s="634" t="s">
        <v>123</v>
      </c>
      <c r="V13" s="566" t="s">
        <v>123</v>
      </c>
      <c r="W13" s="567" t="s">
        <v>123</v>
      </c>
      <c r="X13" s="564" t="s">
        <v>123</v>
      </c>
      <c r="Y13" s="568" t="s">
        <v>123</v>
      </c>
      <c r="Z13" s="634" t="s">
        <v>123</v>
      </c>
      <c r="AA13" s="591" t="s">
        <v>123</v>
      </c>
      <c r="AB13" s="569" t="s">
        <v>123</v>
      </c>
      <c r="AC13" s="571" t="s">
        <v>123</v>
      </c>
      <c r="AD13" s="572">
        <v>13160.13</v>
      </c>
      <c r="AE13" s="573">
        <v>261</v>
      </c>
      <c r="AF13" s="565">
        <v>50.421954022988501</v>
      </c>
      <c r="AG13" s="566">
        <v>235</v>
      </c>
      <c r="AH13" s="567">
        <v>9.9616858237547887E-2</v>
      </c>
      <c r="AI13" s="564">
        <v>184</v>
      </c>
      <c r="AJ13" s="568">
        <v>0.21702127659574469</v>
      </c>
      <c r="AK13" s="565">
        <v>71.522445652173914</v>
      </c>
      <c r="AL13" s="574">
        <v>71</v>
      </c>
      <c r="AM13" s="569">
        <v>0.30212765957446808</v>
      </c>
      <c r="AN13" s="571">
        <v>185.35394366197181</v>
      </c>
      <c r="AO13" s="635"/>
      <c r="AP13" s="575"/>
      <c r="AQ13" s="636"/>
      <c r="AR13" s="637"/>
      <c r="AS13" s="638"/>
      <c r="AT13" s="579"/>
      <c r="AU13" s="580"/>
    </row>
    <row r="14" spans="1:47" ht="21.6" hidden="1" customHeight="1">
      <c r="A14" t="s">
        <v>279</v>
      </c>
      <c r="B14" t="s">
        <v>280</v>
      </c>
      <c r="C14" s="760"/>
      <c r="D14" s="561" t="s">
        <v>40</v>
      </c>
      <c r="E14" s="561" t="s">
        <v>57</v>
      </c>
      <c r="F14" s="561" t="s">
        <v>57</v>
      </c>
      <c r="G14" s="562" t="s">
        <v>60</v>
      </c>
      <c r="H14" s="563">
        <v>22100.94</v>
      </c>
      <c r="I14" s="581">
        <v>783</v>
      </c>
      <c r="J14" s="582">
        <v>28.225977011494251</v>
      </c>
      <c r="K14" s="566">
        <v>474</v>
      </c>
      <c r="L14" s="567">
        <v>0.3946360153256705</v>
      </c>
      <c r="M14" s="564">
        <v>243</v>
      </c>
      <c r="N14" s="568">
        <v>0.48734177215189872</v>
      </c>
      <c r="O14" s="565">
        <v>90.950370370370365</v>
      </c>
      <c r="P14" s="564">
        <v>95</v>
      </c>
      <c r="Q14" s="569">
        <v>0.20042194092827004</v>
      </c>
      <c r="R14" s="570">
        <v>232.64147368421052</v>
      </c>
      <c r="S14" s="565">
        <v>22100.94</v>
      </c>
      <c r="T14" s="564">
        <v>783</v>
      </c>
      <c r="U14" s="639">
        <v>28.225977011494251</v>
      </c>
      <c r="V14" s="566">
        <v>474</v>
      </c>
      <c r="W14" s="567">
        <v>0.3946360153256705</v>
      </c>
      <c r="X14" s="564">
        <v>243</v>
      </c>
      <c r="Y14" s="568">
        <v>0.48734177215189872</v>
      </c>
      <c r="Z14" s="634">
        <v>90.950370370370365</v>
      </c>
      <c r="AA14" s="591">
        <v>95</v>
      </c>
      <c r="AB14" s="569">
        <v>0.20042194092827004</v>
      </c>
      <c r="AC14" s="571">
        <v>232.64147368421052</v>
      </c>
      <c r="AD14" s="572" t="s">
        <v>123</v>
      </c>
      <c r="AE14" s="573" t="s">
        <v>123</v>
      </c>
      <c r="AF14" s="565" t="s">
        <v>123</v>
      </c>
      <c r="AG14" s="566" t="s">
        <v>123</v>
      </c>
      <c r="AH14" s="567" t="s">
        <v>123</v>
      </c>
      <c r="AI14" s="564" t="s">
        <v>123</v>
      </c>
      <c r="AJ14" s="568" t="s">
        <v>123</v>
      </c>
      <c r="AK14" s="565" t="s">
        <v>123</v>
      </c>
      <c r="AL14" s="574" t="s">
        <v>123</v>
      </c>
      <c r="AM14" s="569" t="s">
        <v>123</v>
      </c>
      <c r="AN14" s="571" t="s">
        <v>123</v>
      </c>
      <c r="AO14" s="635"/>
      <c r="AP14" s="575"/>
      <c r="AQ14" s="636"/>
      <c r="AR14" s="637"/>
      <c r="AS14" s="638"/>
      <c r="AT14" s="579"/>
      <c r="AU14" s="580"/>
    </row>
    <row r="15" spans="1:47" ht="49.95" customHeight="1">
      <c r="C15" s="758" t="s">
        <v>156</v>
      </c>
      <c r="D15" s="541"/>
      <c r="E15" s="541"/>
      <c r="F15" s="541"/>
      <c r="G15" s="542" t="s">
        <v>139</v>
      </c>
      <c r="H15" s="543">
        <v>107374.94</v>
      </c>
      <c r="I15" s="544">
        <v>4226</v>
      </c>
      <c r="J15" s="545">
        <v>25.408173213440605</v>
      </c>
      <c r="K15" s="546">
        <v>3038</v>
      </c>
      <c r="L15" s="547">
        <v>0.28111689540937057</v>
      </c>
      <c r="M15" s="544">
        <v>1785</v>
      </c>
      <c r="N15" s="548">
        <v>0.41244239631336405</v>
      </c>
      <c r="O15" s="549">
        <v>60.154028011204481</v>
      </c>
      <c r="P15" s="544">
        <v>567</v>
      </c>
      <c r="Q15" s="548">
        <v>0.18663594470046083</v>
      </c>
      <c r="R15" s="550">
        <v>189.37379188712524</v>
      </c>
      <c r="S15" s="545">
        <v>60966.85</v>
      </c>
      <c r="T15" s="544">
        <v>3223</v>
      </c>
      <c r="U15" s="627">
        <v>18.916180577102079</v>
      </c>
      <c r="V15" s="546">
        <v>2049</v>
      </c>
      <c r="W15" s="547">
        <v>0.36425690350605028</v>
      </c>
      <c r="X15" s="544">
        <v>1060</v>
      </c>
      <c r="Y15" s="548">
        <v>0.48267447535383112</v>
      </c>
      <c r="Z15" s="628">
        <v>57.515896226415094</v>
      </c>
      <c r="AA15" s="629">
        <v>244</v>
      </c>
      <c r="AB15" s="548">
        <v>0.11908247925817472</v>
      </c>
      <c r="AC15" s="551">
        <v>249.8641393442623</v>
      </c>
      <c r="AD15" s="552">
        <v>46408.09</v>
      </c>
      <c r="AE15" s="553">
        <v>1003</v>
      </c>
      <c r="AF15" s="549">
        <v>46.269282153539379</v>
      </c>
      <c r="AG15" s="546">
        <v>989</v>
      </c>
      <c r="AH15" s="547">
        <v>1.3958125623130608E-2</v>
      </c>
      <c r="AI15" s="553">
        <v>725</v>
      </c>
      <c r="AJ15" s="548">
        <v>0.26693629929221435</v>
      </c>
      <c r="AK15" s="549">
        <v>64.011158620689656</v>
      </c>
      <c r="AL15" s="554">
        <v>323</v>
      </c>
      <c r="AM15" s="548">
        <v>0.32659251769464104</v>
      </c>
      <c r="AN15" s="551">
        <v>143.67829721362227</v>
      </c>
      <c r="AO15" s="630">
        <v>0.95509999999999995</v>
      </c>
      <c r="AP15" s="555">
        <v>0.60229999999999995</v>
      </c>
      <c r="AQ15" s="631">
        <v>0.63119999999999998</v>
      </c>
      <c r="AR15" s="632">
        <v>0.61680000000000001</v>
      </c>
      <c r="AS15" s="633">
        <v>2.52</v>
      </c>
      <c r="AT15" s="579" t="s">
        <v>281</v>
      </c>
      <c r="AU15" s="580" t="s">
        <v>158</v>
      </c>
    </row>
    <row r="16" spans="1:47" ht="21" hidden="1" customHeight="1">
      <c r="A16" t="s">
        <v>282</v>
      </c>
      <c r="B16" t="s">
        <v>268</v>
      </c>
      <c r="C16" s="759"/>
      <c r="D16" s="561" t="s">
        <v>40</v>
      </c>
      <c r="E16" s="561" t="s">
        <v>142</v>
      </c>
      <c r="F16" s="561" t="s">
        <v>44</v>
      </c>
      <c r="G16" s="562" t="s">
        <v>42</v>
      </c>
      <c r="H16" s="563">
        <v>3752.79</v>
      </c>
      <c r="I16" s="564">
        <v>114</v>
      </c>
      <c r="J16" s="565">
        <v>32.919210526315787</v>
      </c>
      <c r="K16" s="566">
        <v>121</v>
      </c>
      <c r="L16" s="567">
        <v>-6.1403508771929821E-2</v>
      </c>
      <c r="M16" s="564">
        <v>95</v>
      </c>
      <c r="N16" s="568">
        <v>0.21487603305785125</v>
      </c>
      <c r="O16" s="565">
        <v>39.503052631578946</v>
      </c>
      <c r="P16" s="564">
        <v>53</v>
      </c>
      <c r="Q16" s="569">
        <v>0.43801652892561982</v>
      </c>
      <c r="R16" s="570">
        <v>70.807358490566031</v>
      </c>
      <c r="S16" s="565" t="s">
        <v>123</v>
      </c>
      <c r="T16" s="564" t="s">
        <v>123</v>
      </c>
      <c r="U16" s="634" t="s">
        <v>123</v>
      </c>
      <c r="V16" s="566" t="s">
        <v>123</v>
      </c>
      <c r="W16" s="567" t="s">
        <v>123</v>
      </c>
      <c r="X16" s="564" t="s">
        <v>123</v>
      </c>
      <c r="Y16" s="568" t="s">
        <v>123</v>
      </c>
      <c r="Z16" s="634" t="s">
        <v>123</v>
      </c>
      <c r="AA16" s="591" t="s">
        <v>123</v>
      </c>
      <c r="AB16" s="569" t="s">
        <v>123</v>
      </c>
      <c r="AC16" s="571" t="s">
        <v>123</v>
      </c>
      <c r="AD16" s="572">
        <v>3752.79</v>
      </c>
      <c r="AE16" s="573">
        <v>114</v>
      </c>
      <c r="AF16" s="565">
        <v>32.919210526315787</v>
      </c>
      <c r="AG16" s="566">
        <v>121</v>
      </c>
      <c r="AH16" s="567">
        <v>-6.1403508771929821E-2</v>
      </c>
      <c r="AI16" s="564">
        <v>95</v>
      </c>
      <c r="AJ16" s="568">
        <v>0.21487603305785125</v>
      </c>
      <c r="AK16" s="565">
        <v>39.503052631578946</v>
      </c>
      <c r="AL16" s="574">
        <v>53</v>
      </c>
      <c r="AM16" s="569">
        <v>0.43801652892561982</v>
      </c>
      <c r="AN16" s="571">
        <v>70.807358490566031</v>
      </c>
      <c r="AO16" s="635"/>
      <c r="AP16" s="575"/>
      <c r="AQ16" s="636"/>
      <c r="AR16" s="637"/>
      <c r="AS16" s="638"/>
      <c r="AT16" s="579"/>
      <c r="AU16" s="580"/>
    </row>
    <row r="17" spans="1:47" ht="21" hidden="1" customHeight="1">
      <c r="A17" t="s">
        <v>283</v>
      </c>
      <c r="B17" t="s">
        <v>270</v>
      </c>
      <c r="C17" s="759"/>
      <c r="D17" s="561" t="s">
        <v>52</v>
      </c>
      <c r="E17" s="561" t="s">
        <v>145</v>
      </c>
      <c r="F17" s="561" t="s">
        <v>44</v>
      </c>
      <c r="G17" s="562" t="s">
        <v>42</v>
      </c>
      <c r="H17" s="563">
        <v>14078.15</v>
      </c>
      <c r="I17" s="564">
        <v>350</v>
      </c>
      <c r="J17" s="565">
        <v>40.223285714285716</v>
      </c>
      <c r="K17" s="566">
        <v>343</v>
      </c>
      <c r="L17" s="567">
        <v>0.02</v>
      </c>
      <c r="M17" s="564">
        <v>261</v>
      </c>
      <c r="N17" s="568">
        <v>0.239067055393586</v>
      </c>
      <c r="O17" s="565">
        <v>53.939272030651338</v>
      </c>
      <c r="P17" s="564">
        <v>110</v>
      </c>
      <c r="Q17" s="569">
        <v>0.32069970845481049</v>
      </c>
      <c r="R17" s="570">
        <v>127.98318181818182</v>
      </c>
      <c r="S17" s="565" t="s">
        <v>123</v>
      </c>
      <c r="T17" s="564" t="s">
        <v>123</v>
      </c>
      <c r="U17" s="634" t="s">
        <v>123</v>
      </c>
      <c r="V17" s="566" t="s">
        <v>123</v>
      </c>
      <c r="W17" s="567" t="s">
        <v>123</v>
      </c>
      <c r="X17" s="564" t="s">
        <v>123</v>
      </c>
      <c r="Y17" s="568" t="s">
        <v>123</v>
      </c>
      <c r="Z17" s="634" t="s">
        <v>123</v>
      </c>
      <c r="AA17" s="591" t="s">
        <v>123</v>
      </c>
      <c r="AB17" s="569" t="s">
        <v>123</v>
      </c>
      <c r="AC17" s="571" t="s">
        <v>123</v>
      </c>
      <c r="AD17" s="572">
        <v>14078.15</v>
      </c>
      <c r="AE17" s="573">
        <v>350</v>
      </c>
      <c r="AF17" s="565">
        <v>40.223285714285716</v>
      </c>
      <c r="AG17" s="566">
        <v>343</v>
      </c>
      <c r="AH17" s="567">
        <v>0.02</v>
      </c>
      <c r="AI17" s="564">
        <v>261</v>
      </c>
      <c r="AJ17" s="568">
        <v>0.239067055393586</v>
      </c>
      <c r="AK17" s="565">
        <v>53.939272030651338</v>
      </c>
      <c r="AL17" s="574">
        <v>110</v>
      </c>
      <c r="AM17" s="569">
        <v>0.32069970845481049</v>
      </c>
      <c r="AN17" s="571">
        <v>127.98318181818182</v>
      </c>
      <c r="AO17" s="635"/>
      <c r="AP17" s="575"/>
      <c r="AQ17" s="636"/>
      <c r="AR17" s="637"/>
      <c r="AS17" s="638"/>
      <c r="AT17" s="579"/>
      <c r="AU17" s="580"/>
    </row>
    <row r="18" spans="1:47" ht="21" hidden="1" customHeight="1">
      <c r="A18" t="s">
        <v>284</v>
      </c>
      <c r="B18" t="s">
        <v>272</v>
      </c>
      <c r="C18" s="759"/>
      <c r="D18" s="561" t="s">
        <v>40</v>
      </c>
      <c r="E18" s="561" t="s">
        <v>57</v>
      </c>
      <c r="F18" s="561" t="s">
        <v>57</v>
      </c>
      <c r="G18" s="562" t="s">
        <v>42</v>
      </c>
      <c r="H18" s="563">
        <v>19735.82</v>
      </c>
      <c r="I18" s="564">
        <v>1563</v>
      </c>
      <c r="J18" s="565">
        <v>12.626884197056942</v>
      </c>
      <c r="K18" s="566">
        <v>1094</v>
      </c>
      <c r="L18" s="567">
        <v>0.30006397952655151</v>
      </c>
      <c r="M18" s="564">
        <v>582</v>
      </c>
      <c r="N18" s="568">
        <v>0.4680073126142596</v>
      </c>
      <c r="O18" s="565">
        <v>33.910343642611686</v>
      </c>
      <c r="P18" s="564">
        <v>51</v>
      </c>
      <c r="Q18" s="569">
        <v>4.6617915904936018E-2</v>
      </c>
      <c r="R18" s="570">
        <v>386.97686274509806</v>
      </c>
      <c r="S18" s="565">
        <v>19735.82</v>
      </c>
      <c r="T18" s="564">
        <v>1563</v>
      </c>
      <c r="U18" s="634">
        <v>12.626884197056942</v>
      </c>
      <c r="V18" s="566">
        <v>1094</v>
      </c>
      <c r="W18" s="567">
        <v>0.30006397952655151</v>
      </c>
      <c r="X18" s="564">
        <v>582</v>
      </c>
      <c r="Y18" s="568">
        <v>0.4680073126142596</v>
      </c>
      <c r="Z18" s="634">
        <v>33.910343642611686</v>
      </c>
      <c r="AA18" s="591">
        <v>51</v>
      </c>
      <c r="AB18" s="569">
        <v>4.6617915904936018E-2</v>
      </c>
      <c r="AC18" s="571">
        <v>386.97686274509806</v>
      </c>
      <c r="AD18" s="572" t="s">
        <v>123</v>
      </c>
      <c r="AE18" s="573" t="s">
        <v>123</v>
      </c>
      <c r="AF18" s="565" t="s">
        <v>123</v>
      </c>
      <c r="AG18" s="566" t="s">
        <v>123</v>
      </c>
      <c r="AH18" s="567" t="s">
        <v>123</v>
      </c>
      <c r="AI18" s="564" t="s">
        <v>123</v>
      </c>
      <c r="AJ18" s="568" t="s">
        <v>123</v>
      </c>
      <c r="AK18" s="565" t="s">
        <v>123</v>
      </c>
      <c r="AL18" s="574" t="s">
        <v>123</v>
      </c>
      <c r="AM18" s="569" t="s">
        <v>123</v>
      </c>
      <c r="AN18" s="571" t="s">
        <v>123</v>
      </c>
      <c r="AO18" s="635"/>
      <c r="AP18" s="575"/>
      <c r="AQ18" s="636"/>
      <c r="AR18" s="637"/>
      <c r="AS18" s="638"/>
      <c r="AT18" s="579"/>
      <c r="AU18" s="580"/>
    </row>
    <row r="19" spans="1:47" ht="21" hidden="1" customHeight="1">
      <c r="A19" t="s">
        <v>285</v>
      </c>
      <c r="B19" t="s">
        <v>274</v>
      </c>
      <c r="C19" s="759"/>
      <c r="D19" s="561" t="s">
        <v>52</v>
      </c>
      <c r="E19" s="561" t="s">
        <v>121</v>
      </c>
      <c r="F19" s="561" t="s">
        <v>44</v>
      </c>
      <c r="G19" s="562" t="s">
        <v>42</v>
      </c>
      <c r="H19" s="563">
        <v>1128.6199999999999</v>
      </c>
      <c r="I19" s="564">
        <v>6</v>
      </c>
      <c r="J19" s="565">
        <v>188.10333333333332</v>
      </c>
      <c r="K19" s="566">
        <v>5</v>
      </c>
      <c r="L19" s="567">
        <v>0.16666666666666666</v>
      </c>
      <c r="M19" s="564">
        <v>5</v>
      </c>
      <c r="N19" s="568">
        <v>0</v>
      </c>
      <c r="O19" s="565">
        <v>225.72399999999999</v>
      </c>
      <c r="P19" s="564">
        <v>1</v>
      </c>
      <c r="Q19" s="569">
        <v>0.2</v>
      </c>
      <c r="R19" s="570">
        <v>1128.6199999999999</v>
      </c>
      <c r="S19" s="565" t="s">
        <v>123</v>
      </c>
      <c r="T19" s="564" t="s">
        <v>123</v>
      </c>
      <c r="U19" s="634" t="s">
        <v>123</v>
      </c>
      <c r="V19" s="566" t="s">
        <v>123</v>
      </c>
      <c r="W19" s="567" t="s">
        <v>123</v>
      </c>
      <c r="X19" s="564" t="s">
        <v>123</v>
      </c>
      <c r="Y19" s="568" t="s">
        <v>123</v>
      </c>
      <c r="Z19" s="634" t="s">
        <v>123</v>
      </c>
      <c r="AA19" s="591" t="s">
        <v>123</v>
      </c>
      <c r="AB19" s="569" t="s">
        <v>123</v>
      </c>
      <c r="AC19" s="571" t="s">
        <v>123</v>
      </c>
      <c r="AD19" s="572">
        <v>1128.6199999999999</v>
      </c>
      <c r="AE19" s="573">
        <v>6</v>
      </c>
      <c r="AF19" s="565">
        <v>188.10333333333332</v>
      </c>
      <c r="AG19" s="566">
        <v>5</v>
      </c>
      <c r="AH19" s="567">
        <v>0.16666666666666666</v>
      </c>
      <c r="AI19" s="564">
        <v>5</v>
      </c>
      <c r="AJ19" s="568">
        <v>0</v>
      </c>
      <c r="AK19" s="565">
        <v>225.72399999999999</v>
      </c>
      <c r="AL19" s="574">
        <v>1</v>
      </c>
      <c r="AM19" s="569">
        <v>0.2</v>
      </c>
      <c r="AN19" s="571">
        <v>1128.6199999999999</v>
      </c>
      <c r="AO19" s="635"/>
      <c r="AP19" s="575"/>
      <c r="AQ19" s="636"/>
      <c r="AR19" s="637"/>
      <c r="AS19" s="638"/>
      <c r="AT19" s="579"/>
      <c r="AU19" s="580"/>
    </row>
    <row r="20" spans="1:47" ht="21" hidden="1" customHeight="1">
      <c r="A20" t="s">
        <v>286</v>
      </c>
      <c r="B20" t="s">
        <v>276</v>
      </c>
      <c r="C20" s="759"/>
      <c r="D20" s="561" t="s">
        <v>40</v>
      </c>
      <c r="E20" s="561" t="s">
        <v>142</v>
      </c>
      <c r="F20" s="561" t="s">
        <v>44</v>
      </c>
      <c r="G20" s="562" t="s">
        <v>60</v>
      </c>
      <c r="H20" s="563">
        <v>3229.71</v>
      </c>
      <c r="I20" s="564">
        <v>89</v>
      </c>
      <c r="J20" s="565">
        <v>36.288876404494381</v>
      </c>
      <c r="K20" s="566">
        <v>89</v>
      </c>
      <c r="L20" s="567">
        <v>0</v>
      </c>
      <c r="M20" s="564">
        <v>64</v>
      </c>
      <c r="N20" s="568">
        <v>0.2808988764044944</v>
      </c>
      <c r="O20" s="565">
        <v>50.464218750000001</v>
      </c>
      <c r="P20" s="564">
        <v>39</v>
      </c>
      <c r="Q20" s="569">
        <v>0.43820224719101125</v>
      </c>
      <c r="R20" s="570">
        <v>82.81307692307692</v>
      </c>
      <c r="S20" s="565" t="s">
        <v>123</v>
      </c>
      <c r="T20" s="564" t="s">
        <v>123</v>
      </c>
      <c r="U20" s="634" t="s">
        <v>123</v>
      </c>
      <c r="V20" s="566" t="s">
        <v>123</v>
      </c>
      <c r="W20" s="567" t="s">
        <v>123</v>
      </c>
      <c r="X20" s="564" t="s">
        <v>123</v>
      </c>
      <c r="Y20" s="568" t="s">
        <v>123</v>
      </c>
      <c r="Z20" s="634" t="s">
        <v>123</v>
      </c>
      <c r="AA20" s="591" t="s">
        <v>123</v>
      </c>
      <c r="AB20" s="569" t="s">
        <v>123</v>
      </c>
      <c r="AC20" s="571" t="s">
        <v>123</v>
      </c>
      <c r="AD20" s="572">
        <v>3229.71</v>
      </c>
      <c r="AE20" s="573">
        <v>89</v>
      </c>
      <c r="AF20" s="565">
        <v>36.288876404494381</v>
      </c>
      <c r="AG20" s="566">
        <v>89</v>
      </c>
      <c r="AH20" s="567">
        <v>0</v>
      </c>
      <c r="AI20" s="564">
        <v>64</v>
      </c>
      <c r="AJ20" s="568">
        <v>0.2808988764044944</v>
      </c>
      <c r="AK20" s="565">
        <v>50.464218750000001</v>
      </c>
      <c r="AL20" s="574">
        <v>39</v>
      </c>
      <c r="AM20" s="569">
        <v>0.43820224719101125</v>
      </c>
      <c r="AN20" s="571">
        <v>82.81307692307692</v>
      </c>
      <c r="AO20" s="635"/>
      <c r="AP20" s="575"/>
      <c r="AQ20" s="636"/>
      <c r="AR20" s="637"/>
      <c r="AS20" s="638"/>
      <c r="AT20" s="579"/>
      <c r="AU20" s="580"/>
    </row>
    <row r="21" spans="1:47" ht="21" hidden="1" customHeight="1">
      <c r="A21" t="s">
        <v>287</v>
      </c>
      <c r="B21" t="s">
        <v>278</v>
      </c>
      <c r="C21" s="759"/>
      <c r="D21" s="561" t="s">
        <v>52</v>
      </c>
      <c r="E21" s="561" t="s">
        <v>145</v>
      </c>
      <c r="F21" s="561" t="s">
        <v>44</v>
      </c>
      <c r="G21" s="562" t="s">
        <v>60</v>
      </c>
      <c r="H21" s="563">
        <v>24218.82</v>
      </c>
      <c r="I21" s="564">
        <v>444</v>
      </c>
      <c r="J21" s="565">
        <v>54.546891891891889</v>
      </c>
      <c r="K21" s="566">
        <v>431</v>
      </c>
      <c r="L21" s="567">
        <v>2.9279279279279279E-2</v>
      </c>
      <c r="M21" s="564">
        <v>300</v>
      </c>
      <c r="N21" s="568">
        <v>0.30394431554524359</v>
      </c>
      <c r="O21" s="565">
        <v>80.729399999999998</v>
      </c>
      <c r="P21" s="564">
        <v>120</v>
      </c>
      <c r="Q21" s="569">
        <v>0.27842227378190254</v>
      </c>
      <c r="R21" s="570">
        <v>201.8235</v>
      </c>
      <c r="S21" s="565" t="s">
        <v>123</v>
      </c>
      <c r="T21" s="564" t="s">
        <v>123</v>
      </c>
      <c r="U21" s="634" t="s">
        <v>123</v>
      </c>
      <c r="V21" s="566" t="s">
        <v>123</v>
      </c>
      <c r="W21" s="567" t="s">
        <v>123</v>
      </c>
      <c r="X21" s="564" t="s">
        <v>123</v>
      </c>
      <c r="Y21" s="568" t="s">
        <v>123</v>
      </c>
      <c r="Z21" s="634" t="s">
        <v>123</v>
      </c>
      <c r="AA21" s="591" t="s">
        <v>123</v>
      </c>
      <c r="AB21" s="569" t="s">
        <v>123</v>
      </c>
      <c r="AC21" s="571" t="s">
        <v>123</v>
      </c>
      <c r="AD21" s="572">
        <v>24218.82</v>
      </c>
      <c r="AE21" s="573">
        <v>444</v>
      </c>
      <c r="AF21" s="565">
        <v>54.546891891891889</v>
      </c>
      <c r="AG21" s="566">
        <v>431</v>
      </c>
      <c r="AH21" s="567">
        <v>2.9279279279279279E-2</v>
      </c>
      <c r="AI21" s="564">
        <v>300</v>
      </c>
      <c r="AJ21" s="568">
        <v>0.30394431554524359</v>
      </c>
      <c r="AK21" s="565">
        <v>80.729399999999998</v>
      </c>
      <c r="AL21" s="574">
        <v>120</v>
      </c>
      <c r="AM21" s="569">
        <v>0.27842227378190254</v>
      </c>
      <c r="AN21" s="571">
        <v>201.8235</v>
      </c>
      <c r="AO21" s="635"/>
      <c r="AP21" s="575"/>
      <c r="AQ21" s="636"/>
      <c r="AR21" s="637"/>
      <c r="AS21" s="638"/>
      <c r="AT21" s="579"/>
      <c r="AU21" s="580"/>
    </row>
    <row r="22" spans="1:47" ht="21" hidden="1" customHeight="1">
      <c r="A22" t="s">
        <v>288</v>
      </c>
      <c r="B22" t="s">
        <v>280</v>
      </c>
      <c r="C22" s="759"/>
      <c r="D22" s="584" t="s">
        <v>40</v>
      </c>
      <c r="E22" s="584" t="s">
        <v>57</v>
      </c>
      <c r="F22" s="584" t="s">
        <v>57</v>
      </c>
      <c r="G22" s="585" t="s">
        <v>60</v>
      </c>
      <c r="H22" s="563">
        <v>41231.03</v>
      </c>
      <c r="I22" s="581">
        <v>1660</v>
      </c>
      <c r="J22" s="582">
        <v>24.83796987951807</v>
      </c>
      <c r="K22" s="566">
        <v>955</v>
      </c>
      <c r="L22" s="567">
        <v>0.4246987951807229</v>
      </c>
      <c r="M22" s="564">
        <v>478</v>
      </c>
      <c r="N22" s="568">
        <v>0.49947643979057593</v>
      </c>
      <c r="O22" s="586">
        <v>86.257384937238484</v>
      </c>
      <c r="P22" s="564">
        <v>193</v>
      </c>
      <c r="Q22" s="569">
        <v>0.20209424083769634</v>
      </c>
      <c r="R22" s="570">
        <v>213.63227979274612</v>
      </c>
      <c r="S22" s="565">
        <v>41231.03</v>
      </c>
      <c r="T22" s="564">
        <v>1660</v>
      </c>
      <c r="U22" s="639">
        <v>24.83796987951807</v>
      </c>
      <c r="V22" s="566">
        <v>955</v>
      </c>
      <c r="W22" s="567">
        <v>0.4246987951807229</v>
      </c>
      <c r="X22" s="564">
        <v>478</v>
      </c>
      <c r="Y22" s="568">
        <v>0.49947643979057593</v>
      </c>
      <c r="Z22" s="640">
        <v>86.257384937238484</v>
      </c>
      <c r="AA22" s="591">
        <v>193</v>
      </c>
      <c r="AB22" s="569">
        <v>0.20209424083769634</v>
      </c>
      <c r="AC22" s="571">
        <v>213.63227979274612</v>
      </c>
      <c r="AD22" s="572" t="s">
        <v>123</v>
      </c>
      <c r="AE22" s="573" t="s">
        <v>123</v>
      </c>
      <c r="AF22" s="565" t="s">
        <v>123</v>
      </c>
      <c r="AG22" s="566" t="s">
        <v>123</v>
      </c>
      <c r="AH22" s="567" t="s">
        <v>123</v>
      </c>
      <c r="AI22" s="564" t="s">
        <v>123</v>
      </c>
      <c r="AJ22" s="568" t="s">
        <v>123</v>
      </c>
      <c r="AK22" s="586" t="s">
        <v>123</v>
      </c>
      <c r="AL22" s="574" t="s">
        <v>123</v>
      </c>
      <c r="AM22" s="569" t="s">
        <v>123</v>
      </c>
      <c r="AN22" s="571" t="s">
        <v>123</v>
      </c>
      <c r="AO22" s="635"/>
      <c r="AP22" s="587"/>
      <c r="AQ22" s="636"/>
      <c r="AR22" s="641"/>
      <c r="AS22" s="638"/>
      <c r="AT22" s="579"/>
      <c r="AU22" s="580"/>
    </row>
    <row r="23" spans="1:47" ht="49.95" customHeight="1">
      <c r="C23" s="758" t="s">
        <v>166</v>
      </c>
      <c r="D23" s="541"/>
      <c r="E23" s="541"/>
      <c r="F23" s="541"/>
      <c r="G23" s="542" t="s">
        <v>139</v>
      </c>
      <c r="H23" s="543">
        <v>114080.52</v>
      </c>
      <c r="I23" s="544">
        <v>4758</v>
      </c>
      <c r="J23" s="545">
        <v>23.976569987389659</v>
      </c>
      <c r="K23" s="546">
        <v>2849</v>
      </c>
      <c r="L23" s="547">
        <v>0.40121899957965534</v>
      </c>
      <c r="M23" s="544">
        <v>1487</v>
      </c>
      <c r="N23" s="548">
        <v>0.47806247806247804</v>
      </c>
      <c r="O23" s="549">
        <v>76.718574310692674</v>
      </c>
      <c r="P23" s="544">
        <v>468</v>
      </c>
      <c r="Q23" s="548">
        <v>0.16426816426816426</v>
      </c>
      <c r="R23" s="550">
        <v>243.76179487179488</v>
      </c>
      <c r="S23" s="545">
        <v>66924.38</v>
      </c>
      <c r="T23" s="544">
        <v>3840</v>
      </c>
      <c r="U23" s="627">
        <v>17.428223958333334</v>
      </c>
      <c r="V23" s="546">
        <v>1989</v>
      </c>
      <c r="W23" s="547">
        <v>0.48203125000000002</v>
      </c>
      <c r="X23" s="544">
        <v>821</v>
      </c>
      <c r="Y23" s="548">
        <v>0.58722976370035196</v>
      </c>
      <c r="Z23" s="628">
        <v>81.515688185140078</v>
      </c>
      <c r="AA23" s="629">
        <v>198</v>
      </c>
      <c r="AB23" s="548">
        <v>9.9547511312217188E-2</v>
      </c>
      <c r="AC23" s="551">
        <v>338.00191919191923</v>
      </c>
      <c r="AD23" s="552">
        <v>47156.14</v>
      </c>
      <c r="AE23" s="553">
        <v>918</v>
      </c>
      <c r="AF23" s="549">
        <v>51.368344226579524</v>
      </c>
      <c r="AG23" s="546">
        <v>860</v>
      </c>
      <c r="AH23" s="547">
        <v>6.3180827886710242E-2</v>
      </c>
      <c r="AI23" s="553">
        <v>666</v>
      </c>
      <c r="AJ23" s="548">
        <v>0.2255813953488372</v>
      </c>
      <c r="AK23" s="549">
        <v>70.805015015015016</v>
      </c>
      <c r="AL23" s="554">
        <v>270</v>
      </c>
      <c r="AM23" s="548">
        <v>0.31395348837209303</v>
      </c>
      <c r="AN23" s="551">
        <v>174.65237037037036</v>
      </c>
      <c r="AO23" s="630">
        <v>0.95350000000000001</v>
      </c>
      <c r="AP23" s="555">
        <v>0.61409999999999998</v>
      </c>
      <c r="AQ23" s="631">
        <v>0.63819999999999999</v>
      </c>
      <c r="AR23" s="632">
        <v>0.629</v>
      </c>
      <c r="AS23" s="633">
        <v>2.56</v>
      </c>
      <c r="AT23" s="583" t="s">
        <v>289</v>
      </c>
      <c r="AU23" s="589" t="s">
        <v>290</v>
      </c>
    </row>
    <row r="24" spans="1:47" ht="21" hidden="1" customHeight="1">
      <c r="A24" t="s">
        <v>291</v>
      </c>
      <c r="B24" t="s">
        <v>268</v>
      </c>
      <c r="C24" s="759"/>
      <c r="D24" s="561" t="s">
        <v>40</v>
      </c>
      <c r="E24" s="561" t="s">
        <v>142</v>
      </c>
      <c r="F24" s="561" t="s">
        <v>44</v>
      </c>
      <c r="G24" s="562" t="s">
        <v>42</v>
      </c>
      <c r="H24" s="563">
        <v>2914.15</v>
      </c>
      <c r="I24" s="564">
        <v>79</v>
      </c>
      <c r="J24" s="565">
        <v>36.887974683544307</v>
      </c>
      <c r="K24" s="566">
        <v>80</v>
      </c>
      <c r="L24" s="567">
        <v>-1.2658227848101266E-2</v>
      </c>
      <c r="M24" s="564">
        <v>57</v>
      </c>
      <c r="N24" s="568">
        <v>0.28749999999999998</v>
      </c>
      <c r="O24" s="565">
        <v>51.125438596491229</v>
      </c>
      <c r="P24" s="564">
        <v>30</v>
      </c>
      <c r="Q24" s="569">
        <v>0.375</v>
      </c>
      <c r="R24" s="570">
        <v>97.138333333333335</v>
      </c>
      <c r="S24" s="565" t="s">
        <v>123</v>
      </c>
      <c r="T24" s="564" t="s">
        <v>123</v>
      </c>
      <c r="U24" s="634" t="s">
        <v>123</v>
      </c>
      <c r="V24" s="566" t="s">
        <v>123</v>
      </c>
      <c r="W24" s="567" t="s">
        <v>123</v>
      </c>
      <c r="X24" s="564" t="s">
        <v>123</v>
      </c>
      <c r="Y24" s="568" t="s">
        <v>123</v>
      </c>
      <c r="Z24" s="634" t="s">
        <v>123</v>
      </c>
      <c r="AA24" s="591" t="s">
        <v>123</v>
      </c>
      <c r="AB24" s="569" t="s">
        <v>123</v>
      </c>
      <c r="AC24" s="571" t="s">
        <v>123</v>
      </c>
      <c r="AD24" s="572">
        <v>2914.15</v>
      </c>
      <c r="AE24" s="573">
        <v>79</v>
      </c>
      <c r="AF24" s="565">
        <v>36.887974683544307</v>
      </c>
      <c r="AG24" s="566">
        <v>80</v>
      </c>
      <c r="AH24" s="567">
        <v>-1.2658227848101266E-2</v>
      </c>
      <c r="AI24" s="564">
        <v>57</v>
      </c>
      <c r="AJ24" s="568">
        <v>0.28749999999999998</v>
      </c>
      <c r="AK24" s="565">
        <v>51.125438596491229</v>
      </c>
      <c r="AL24" s="574">
        <v>30</v>
      </c>
      <c r="AM24" s="569">
        <v>0.375</v>
      </c>
      <c r="AN24" s="571">
        <v>97.138333333333335</v>
      </c>
      <c r="AO24" s="635"/>
      <c r="AP24" s="575"/>
      <c r="AQ24" s="636"/>
      <c r="AR24" s="637"/>
      <c r="AS24" s="638"/>
      <c r="AT24" s="579"/>
      <c r="AU24" s="580"/>
    </row>
    <row r="25" spans="1:47" ht="21" hidden="1" customHeight="1">
      <c r="A25" t="s">
        <v>292</v>
      </c>
      <c r="B25" t="s">
        <v>270</v>
      </c>
      <c r="C25" s="759"/>
      <c r="D25" s="561" t="s">
        <v>52</v>
      </c>
      <c r="E25" s="561" t="s">
        <v>145</v>
      </c>
      <c r="F25" s="561" t="s">
        <v>44</v>
      </c>
      <c r="G25" s="562" t="s">
        <v>42</v>
      </c>
      <c r="H25" s="563">
        <v>15593.24</v>
      </c>
      <c r="I25" s="564">
        <v>362</v>
      </c>
      <c r="J25" s="565">
        <v>43.075248618784528</v>
      </c>
      <c r="K25" s="566">
        <v>340</v>
      </c>
      <c r="L25" s="567">
        <v>6.0773480662983423E-2</v>
      </c>
      <c r="M25" s="564">
        <v>265</v>
      </c>
      <c r="N25" s="568">
        <v>0.22058823529411764</v>
      </c>
      <c r="O25" s="565">
        <v>58.842415094339621</v>
      </c>
      <c r="P25" s="564">
        <v>98</v>
      </c>
      <c r="Q25" s="569">
        <v>0.28823529411764703</v>
      </c>
      <c r="R25" s="570">
        <v>159.11469387755102</v>
      </c>
      <c r="S25" s="565" t="s">
        <v>123</v>
      </c>
      <c r="T25" s="564" t="s">
        <v>123</v>
      </c>
      <c r="U25" s="634" t="s">
        <v>123</v>
      </c>
      <c r="V25" s="566" t="s">
        <v>123</v>
      </c>
      <c r="W25" s="567" t="s">
        <v>123</v>
      </c>
      <c r="X25" s="564" t="s">
        <v>123</v>
      </c>
      <c r="Y25" s="568" t="s">
        <v>123</v>
      </c>
      <c r="Z25" s="634" t="s">
        <v>123</v>
      </c>
      <c r="AA25" s="591" t="s">
        <v>123</v>
      </c>
      <c r="AB25" s="569" t="s">
        <v>123</v>
      </c>
      <c r="AC25" s="571" t="s">
        <v>123</v>
      </c>
      <c r="AD25" s="572">
        <v>15593.24</v>
      </c>
      <c r="AE25" s="573">
        <v>362</v>
      </c>
      <c r="AF25" s="565">
        <v>43.075248618784528</v>
      </c>
      <c r="AG25" s="566">
        <v>340</v>
      </c>
      <c r="AH25" s="567">
        <v>6.0773480662983423E-2</v>
      </c>
      <c r="AI25" s="564">
        <v>265</v>
      </c>
      <c r="AJ25" s="568">
        <v>0.22058823529411764</v>
      </c>
      <c r="AK25" s="565">
        <v>58.842415094339621</v>
      </c>
      <c r="AL25" s="574">
        <v>98</v>
      </c>
      <c r="AM25" s="569">
        <v>0.28823529411764703</v>
      </c>
      <c r="AN25" s="571">
        <v>159.11469387755102</v>
      </c>
      <c r="AO25" s="635"/>
      <c r="AP25" s="575"/>
      <c r="AQ25" s="636"/>
      <c r="AR25" s="637"/>
      <c r="AS25" s="638"/>
      <c r="AT25" s="579"/>
      <c r="AU25" s="580"/>
    </row>
    <row r="26" spans="1:47" ht="21" hidden="1" customHeight="1">
      <c r="A26" t="s">
        <v>293</v>
      </c>
      <c r="B26" t="s">
        <v>272</v>
      </c>
      <c r="C26" s="759"/>
      <c r="D26" s="561" t="s">
        <v>40</v>
      </c>
      <c r="E26" s="561" t="s">
        <v>57</v>
      </c>
      <c r="F26" s="561" t="s">
        <v>57</v>
      </c>
      <c r="G26" s="562" t="s">
        <v>42</v>
      </c>
      <c r="H26" s="563">
        <v>26820.27</v>
      </c>
      <c r="I26" s="564">
        <v>2095</v>
      </c>
      <c r="J26" s="565">
        <v>12.802038186157517</v>
      </c>
      <c r="K26" s="566">
        <v>1100</v>
      </c>
      <c r="L26" s="567">
        <v>0.47494033412887826</v>
      </c>
      <c r="M26" s="564">
        <v>390</v>
      </c>
      <c r="N26" s="568">
        <v>0.6454545454545455</v>
      </c>
      <c r="O26" s="565">
        <v>68.769923076923078</v>
      </c>
      <c r="P26" s="564">
        <v>42</v>
      </c>
      <c r="Q26" s="569">
        <v>3.8181818181818185E-2</v>
      </c>
      <c r="R26" s="570">
        <v>638.57785714285717</v>
      </c>
      <c r="S26" s="565">
        <v>26820.27</v>
      </c>
      <c r="T26" s="564">
        <v>2095</v>
      </c>
      <c r="U26" s="634">
        <v>12.802038186157517</v>
      </c>
      <c r="V26" s="566">
        <v>1100</v>
      </c>
      <c r="W26" s="567">
        <v>0.47494033412887826</v>
      </c>
      <c r="X26" s="564">
        <v>390</v>
      </c>
      <c r="Y26" s="568">
        <v>0.6454545454545455</v>
      </c>
      <c r="Z26" s="634">
        <v>68.769923076923078</v>
      </c>
      <c r="AA26" s="591">
        <v>42</v>
      </c>
      <c r="AB26" s="569">
        <v>3.8181818181818185E-2</v>
      </c>
      <c r="AC26" s="571">
        <v>638.57785714285717</v>
      </c>
      <c r="AD26" s="572" t="s">
        <v>123</v>
      </c>
      <c r="AE26" s="573" t="s">
        <v>123</v>
      </c>
      <c r="AF26" s="565" t="s">
        <v>123</v>
      </c>
      <c r="AG26" s="566" t="s">
        <v>123</v>
      </c>
      <c r="AH26" s="567" t="s">
        <v>123</v>
      </c>
      <c r="AI26" s="564" t="s">
        <v>123</v>
      </c>
      <c r="AJ26" s="568" t="s">
        <v>123</v>
      </c>
      <c r="AK26" s="565" t="s">
        <v>123</v>
      </c>
      <c r="AL26" s="574" t="s">
        <v>123</v>
      </c>
      <c r="AM26" s="569" t="s">
        <v>123</v>
      </c>
      <c r="AN26" s="571" t="s">
        <v>123</v>
      </c>
      <c r="AO26" s="635"/>
      <c r="AP26" s="575"/>
      <c r="AQ26" s="636"/>
      <c r="AR26" s="637"/>
      <c r="AS26" s="638"/>
      <c r="AT26" s="579"/>
      <c r="AU26" s="580"/>
    </row>
    <row r="27" spans="1:47" ht="21" hidden="1" customHeight="1">
      <c r="A27" t="s">
        <v>294</v>
      </c>
      <c r="B27" t="s">
        <v>274</v>
      </c>
      <c r="C27" s="759"/>
      <c r="D27" s="561" t="s">
        <v>52</v>
      </c>
      <c r="E27" s="561" t="s">
        <v>121</v>
      </c>
      <c r="F27" s="561" t="s">
        <v>44</v>
      </c>
      <c r="G27" s="562" t="s">
        <v>42</v>
      </c>
      <c r="H27" s="563">
        <v>432.77</v>
      </c>
      <c r="I27" s="564">
        <v>2</v>
      </c>
      <c r="J27" s="565">
        <v>216.38499999999999</v>
      </c>
      <c r="K27" s="566">
        <v>5</v>
      </c>
      <c r="L27" s="567">
        <v>-1.5</v>
      </c>
      <c r="M27" s="564">
        <v>5</v>
      </c>
      <c r="N27" s="568">
        <v>0</v>
      </c>
      <c r="O27" s="565">
        <v>86.554000000000002</v>
      </c>
      <c r="P27" s="564">
        <v>0</v>
      </c>
      <c r="Q27" s="569">
        <v>0</v>
      </c>
      <c r="R27" s="570" t="s">
        <v>123</v>
      </c>
      <c r="S27" s="565" t="s">
        <v>123</v>
      </c>
      <c r="T27" s="564" t="s">
        <v>123</v>
      </c>
      <c r="U27" s="634" t="s">
        <v>123</v>
      </c>
      <c r="V27" s="566" t="s">
        <v>123</v>
      </c>
      <c r="W27" s="567" t="s">
        <v>123</v>
      </c>
      <c r="X27" s="564" t="s">
        <v>123</v>
      </c>
      <c r="Y27" s="568" t="s">
        <v>123</v>
      </c>
      <c r="Z27" s="634" t="s">
        <v>123</v>
      </c>
      <c r="AA27" s="591" t="s">
        <v>123</v>
      </c>
      <c r="AB27" s="569" t="s">
        <v>123</v>
      </c>
      <c r="AC27" s="571" t="s">
        <v>123</v>
      </c>
      <c r="AD27" s="572">
        <v>432.77</v>
      </c>
      <c r="AE27" s="573">
        <v>2</v>
      </c>
      <c r="AF27" s="565">
        <v>216.38499999999999</v>
      </c>
      <c r="AG27" s="566">
        <v>5</v>
      </c>
      <c r="AH27" s="567">
        <v>-1.5</v>
      </c>
      <c r="AI27" s="564">
        <v>5</v>
      </c>
      <c r="AJ27" s="568">
        <v>0</v>
      </c>
      <c r="AK27" s="565">
        <v>86.554000000000002</v>
      </c>
      <c r="AL27" s="574">
        <v>0</v>
      </c>
      <c r="AM27" s="569">
        <v>0</v>
      </c>
      <c r="AN27" s="571" t="s">
        <v>123</v>
      </c>
      <c r="AO27" s="635"/>
      <c r="AP27" s="575"/>
      <c r="AQ27" s="636"/>
      <c r="AR27" s="637"/>
      <c r="AS27" s="638"/>
      <c r="AT27" s="579"/>
      <c r="AU27" s="580"/>
    </row>
    <row r="28" spans="1:47" ht="21" hidden="1" customHeight="1">
      <c r="A28" t="s">
        <v>295</v>
      </c>
      <c r="B28" t="s">
        <v>276</v>
      </c>
      <c r="C28" s="759"/>
      <c r="D28" s="561" t="s">
        <v>40</v>
      </c>
      <c r="E28" s="561" t="s">
        <v>142</v>
      </c>
      <c r="F28" s="561" t="s">
        <v>44</v>
      </c>
      <c r="G28" s="562" t="s">
        <v>60</v>
      </c>
      <c r="H28" s="563">
        <v>4365.84</v>
      </c>
      <c r="I28" s="564">
        <v>87</v>
      </c>
      <c r="J28" s="565">
        <v>50.182068965517246</v>
      </c>
      <c r="K28" s="566">
        <v>90</v>
      </c>
      <c r="L28" s="567">
        <v>-3.4482758620689655E-2</v>
      </c>
      <c r="M28" s="564">
        <v>63</v>
      </c>
      <c r="N28" s="568">
        <v>0.3</v>
      </c>
      <c r="O28" s="565">
        <v>69.299047619047627</v>
      </c>
      <c r="P28" s="564">
        <v>30</v>
      </c>
      <c r="Q28" s="569">
        <v>0.33333333333333331</v>
      </c>
      <c r="R28" s="570">
        <v>145.52799999999999</v>
      </c>
      <c r="S28" s="565" t="s">
        <v>123</v>
      </c>
      <c r="T28" s="564" t="s">
        <v>123</v>
      </c>
      <c r="U28" s="634" t="s">
        <v>123</v>
      </c>
      <c r="V28" s="566" t="s">
        <v>123</v>
      </c>
      <c r="W28" s="567" t="s">
        <v>123</v>
      </c>
      <c r="X28" s="564" t="s">
        <v>123</v>
      </c>
      <c r="Y28" s="568" t="s">
        <v>123</v>
      </c>
      <c r="Z28" s="634" t="s">
        <v>123</v>
      </c>
      <c r="AA28" s="591" t="s">
        <v>123</v>
      </c>
      <c r="AB28" s="569" t="s">
        <v>123</v>
      </c>
      <c r="AC28" s="571" t="s">
        <v>123</v>
      </c>
      <c r="AD28" s="572">
        <v>4365.84</v>
      </c>
      <c r="AE28" s="573">
        <v>87</v>
      </c>
      <c r="AF28" s="565">
        <v>50.182068965517246</v>
      </c>
      <c r="AG28" s="566">
        <v>90</v>
      </c>
      <c r="AH28" s="567">
        <v>-3.4482758620689655E-2</v>
      </c>
      <c r="AI28" s="564">
        <v>63</v>
      </c>
      <c r="AJ28" s="568">
        <v>0.3</v>
      </c>
      <c r="AK28" s="565">
        <v>69.299047619047627</v>
      </c>
      <c r="AL28" s="574">
        <v>30</v>
      </c>
      <c r="AM28" s="569">
        <v>0.33333333333333331</v>
      </c>
      <c r="AN28" s="571">
        <v>145.52799999999999</v>
      </c>
      <c r="AO28" s="635"/>
      <c r="AP28" s="575"/>
      <c r="AQ28" s="636"/>
      <c r="AR28" s="637"/>
      <c r="AS28" s="638"/>
      <c r="AT28" s="579"/>
      <c r="AU28" s="580"/>
    </row>
    <row r="29" spans="1:47" ht="21" hidden="1" customHeight="1">
      <c r="A29" t="s">
        <v>296</v>
      </c>
      <c r="B29" t="s">
        <v>278</v>
      </c>
      <c r="C29" s="759"/>
      <c r="D29" s="561" t="s">
        <v>52</v>
      </c>
      <c r="E29" s="561" t="s">
        <v>145</v>
      </c>
      <c r="F29" s="561" t="s">
        <v>44</v>
      </c>
      <c r="G29" s="562" t="s">
        <v>60</v>
      </c>
      <c r="H29" s="563">
        <v>23850.14</v>
      </c>
      <c r="I29" s="564">
        <v>388</v>
      </c>
      <c r="J29" s="565">
        <v>61.469432989690723</v>
      </c>
      <c r="K29" s="566">
        <v>345</v>
      </c>
      <c r="L29" s="567">
        <v>0.11082474226804123</v>
      </c>
      <c r="M29" s="564">
        <v>276</v>
      </c>
      <c r="N29" s="568">
        <v>0.2</v>
      </c>
      <c r="O29" s="565">
        <v>86.413550724637673</v>
      </c>
      <c r="P29" s="564">
        <v>112</v>
      </c>
      <c r="Q29" s="569">
        <v>0.32463768115942027</v>
      </c>
      <c r="R29" s="570">
        <v>212.94767857142855</v>
      </c>
      <c r="S29" s="565" t="s">
        <v>123</v>
      </c>
      <c r="T29" s="564" t="s">
        <v>123</v>
      </c>
      <c r="U29" s="634" t="s">
        <v>123</v>
      </c>
      <c r="V29" s="566" t="s">
        <v>123</v>
      </c>
      <c r="W29" s="567" t="s">
        <v>123</v>
      </c>
      <c r="X29" s="564" t="s">
        <v>123</v>
      </c>
      <c r="Y29" s="568" t="s">
        <v>123</v>
      </c>
      <c r="Z29" s="634" t="s">
        <v>123</v>
      </c>
      <c r="AA29" s="591" t="s">
        <v>123</v>
      </c>
      <c r="AB29" s="569" t="s">
        <v>123</v>
      </c>
      <c r="AC29" s="571" t="s">
        <v>123</v>
      </c>
      <c r="AD29" s="572">
        <v>23850.14</v>
      </c>
      <c r="AE29" s="573">
        <v>388</v>
      </c>
      <c r="AF29" s="565">
        <v>61.469432989690723</v>
      </c>
      <c r="AG29" s="566">
        <v>345</v>
      </c>
      <c r="AH29" s="567">
        <v>0.11082474226804123</v>
      </c>
      <c r="AI29" s="564">
        <v>276</v>
      </c>
      <c r="AJ29" s="568">
        <v>0.2</v>
      </c>
      <c r="AK29" s="565">
        <v>86.413550724637673</v>
      </c>
      <c r="AL29" s="574">
        <v>112</v>
      </c>
      <c r="AM29" s="569">
        <v>0.32463768115942027</v>
      </c>
      <c r="AN29" s="571">
        <v>212.94767857142855</v>
      </c>
      <c r="AO29" s="635"/>
      <c r="AP29" s="575"/>
      <c r="AQ29" s="636"/>
      <c r="AR29" s="637"/>
      <c r="AS29" s="638"/>
      <c r="AT29" s="579"/>
      <c r="AU29" s="580"/>
    </row>
    <row r="30" spans="1:47" ht="21" hidden="1" customHeight="1">
      <c r="A30" t="s">
        <v>297</v>
      </c>
      <c r="B30" t="s">
        <v>280</v>
      </c>
      <c r="C30" s="760"/>
      <c r="D30" s="584" t="s">
        <v>40</v>
      </c>
      <c r="E30" s="584" t="s">
        <v>57</v>
      </c>
      <c r="F30" s="584" t="s">
        <v>57</v>
      </c>
      <c r="G30" s="585" t="s">
        <v>60</v>
      </c>
      <c r="H30" s="563">
        <v>40104.11</v>
      </c>
      <c r="I30" s="581">
        <v>1745</v>
      </c>
      <c r="J30" s="582">
        <v>22.982297994269342</v>
      </c>
      <c r="K30" s="566">
        <v>889</v>
      </c>
      <c r="L30" s="567">
        <v>0.49054441260744985</v>
      </c>
      <c r="M30" s="564">
        <v>431</v>
      </c>
      <c r="N30" s="568">
        <v>0.51518560179977502</v>
      </c>
      <c r="O30" s="586">
        <v>93.04897911832947</v>
      </c>
      <c r="P30" s="564">
        <v>156</v>
      </c>
      <c r="Q30" s="569">
        <v>0.17547806524184478</v>
      </c>
      <c r="R30" s="570">
        <v>257.07762820512824</v>
      </c>
      <c r="S30" s="565">
        <v>40104.11</v>
      </c>
      <c r="T30" s="564">
        <v>1745</v>
      </c>
      <c r="U30" s="639">
        <v>22.982297994269342</v>
      </c>
      <c r="V30" s="566">
        <v>889</v>
      </c>
      <c r="W30" s="567">
        <v>0.49054441260744985</v>
      </c>
      <c r="X30" s="564">
        <v>431</v>
      </c>
      <c r="Y30" s="568">
        <v>0.51518560179977502</v>
      </c>
      <c r="Z30" s="640">
        <v>93.04897911832947</v>
      </c>
      <c r="AA30" s="591">
        <v>156</v>
      </c>
      <c r="AB30" s="569">
        <v>0.17547806524184478</v>
      </c>
      <c r="AC30" s="571">
        <v>257.07762820512824</v>
      </c>
      <c r="AD30" s="572" t="s">
        <v>123</v>
      </c>
      <c r="AE30" s="573" t="s">
        <v>123</v>
      </c>
      <c r="AF30" s="565" t="s">
        <v>123</v>
      </c>
      <c r="AG30" s="566" t="s">
        <v>123</v>
      </c>
      <c r="AH30" s="567" t="s">
        <v>123</v>
      </c>
      <c r="AI30" s="564" t="s">
        <v>123</v>
      </c>
      <c r="AJ30" s="568" t="s">
        <v>123</v>
      </c>
      <c r="AK30" s="586" t="s">
        <v>123</v>
      </c>
      <c r="AL30" s="574" t="s">
        <v>123</v>
      </c>
      <c r="AM30" s="569" t="s">
        <v>123</v>
      </c>
      <c r="AN30" s="571" t="s">
        <v>123</v>
      </c>
      <c r="AO30" s="635"/>
      <c r="AP30" s="587"/>
      <c r="AQ30" s="636"/>
      <c r="AR30" s="641"/>
      <c r="AS30" s="638"/>
      <c r="AT30" s="579"/>
      <c r="AU30" s="580"/>
    </row>
    <row r="31" spans="1:47" ht="49.95" customHeight="1">
      <c r="C31" s="758" t="s">
        <v>176</v>
      </c>
      <c r="D31" s="541"/>
      <c r="E31" s="541"/>
      <c r="F31" s="541"/>
      <c r="G31" s="542" t="s">
        <v>139</v>
      </c>
      <c r="H31" s="543">
        <v>109699.48999999999</v>
      </c>
      <c r="I31" s="544">
        <v>4706</v>
      </c>
      <c r="J31" s="545">
        <v>23.310558861028472</v>
      </c>
      <c r="K31" s="546">
        <v>3280</v>
      </c>
      <c r="L31" s="547">
        <v>0.30301742456438591</v>
      </c>
      <c r="M31" s="544">
        <v>2412</v>
      </c>
      <c r="N31" s="548">
        <v>0.26463414634146343</v>
      </c>
      <c r="O31" s="549">
        <v>45.480717247097843</v>
      </c>
      <c r="P31" s="544">
        <v>447</v>
      </c>
      <c r="Q31" s="548">
        <v>0.13628048780487806</v>
      </c>
      <c r="R31" s="550">
        <v>245.41272930648768</v>
      </c>
      <c r="S31" s="545">
        <v>64399.58</v>
      </c>
      <c r="T31" s="544">
        <v>3724</v>
      </c>
      <c r="U31" s="627">
        <v>17.29312030075188</v>
      </c>
      <c r="V31" s="546">
        <v>2386</v>
      </c>
      <c r="W31" s="547">
        <v>0.35929108485499461</v>
      </c>
      <c r="X31" s="544">
        <v>1637</v>
      </c>
      <c r="Y31" s="548">
        <v>0.31391450125733444</v>
      </c>
      <c r="Z31" s="628">
        <v>39.340000000000003</v>
      </c>
      <c r="AA31" s="629">
        <v>159</v>
      </c>
      <c r="AB31" s="548">
        <v>6.6638725901089685E-2</v>
      </c>
      <c r="AC31" s="551">
        <v>405.02880503144655</v>
      </c>
      <c r="AD31" s="552">
        <v>45299.91</v>
      </c>
      <c r="AE31" s="553">
        <v>982</v>
      </c>
      <c r="AF31" s="549">
        <v>46.130254582484731</v>
      </c>
      <c r="AG31" s="546">
        <v>894</v>
      </c>
      <c r="AH31" s="547">
        <v>8.9613034623217916E-2</v>
      </c>
      <c r="AI31" s="553">
        <v>775</v>
      </c>
      <c r="AJ31" s="548">
        <v>0.13310961968680091</v>
      </c>
      <c r="AK31" s="549">
        <v>58.451496774193551</v>
      </c>
      <c r="AL31" s="554">
        <v>288</v>
      </c>
      <c r="AM31" s="548">
        <v>0.32214765100671139</v>
      </c>
      <c r="AN31" s="551">
        <v>157.29135416666668</v>
      </c>
      <c r="AO31" s="630">
        <v>0.9002</v>
      </c>
      <c r="AP31" s="555">
        <v>0.5907</v>
      </c>
      <c r="AQ31" s="631">
        <v>0.60650000000000004</v>
      </c>
      <c r="AR31" s="632">
        <v>0.60270000000000001</v>
      </c>
      <c r="AS31" s="633">
        <v>2.35</v>
      </c>
      <c r="AT31" s="583"/>
      <c r="AU31" s="589" t="s">
        <v>177</v>
      </c>
    </row>
    <row r="32" spans="1:47" ht="21" hidden="1" customHeight="1">
      <c r="A32" t="s">
        <v>298</v>
      </c>
      <c r="B32" t="s">
        <v>268</v>
      </c>
      <c r="C32" s="759"/>
      <c r="D32" s="561" t="s">
        <v>40</v>
      </c>
      <c r="E32" s="561" t="s">
        <v>142</v>
      </c>
      <c r="F32" s="561" t="s">
        <v>44</v>
      </c>
      <c r="G32" s="562" t="s">
        <v>42</v>
      </c>
      <c r="H32" s="563">
        <v>2722.47</v>
      </c>
      <c r="I32" s="564">
        <v>94</v>
      </c>
      <c r="J32" s="565">
        <v>28.962446808510638</v>
      </c>
      <c r="K32" s="566">
        <v>94</v>
      </c>
      <c r="L32" s="567">
        <v>0</v>
      </c>
      <c r="M32" s="564">
        <v>74</v>
      </c>
      <c r="N32" s="568">
        <v>0.21276595744680851</v>
      </c>
      <c r="O32" s="565">
        <v>36.790135135135131</v>
      </c>
      <c r="P32" s="564">
        <v>32</v>
      </c>
      <c r="Q32" s="569">
        <v>0.34042553191489361</v>
      </c>
      <c r="R32" s="570">
        <v>85.077187499999994</v>
      </c>
      <c r="S32" s="565" t="s">
        <v>123</v>
      </c>
      <c r="T32" s="564" t="s">
        <v>123</v>
      </c>
      <c r="U32" s="634" t="s">
        <v>123</v>
      </c>
      <c r="V32" s="566" t="s">
        <v>123</v>
      </c>
      <c r="W32" s="567" t="s">
        <v>123</v>
      </c>
      <c r="X32" s="564" t="s">
        <v>123</v>
      </c>
      <c r="Y32" s="568" t="s">
        <v>123</v>
      </c>
      <c r="Z32" s="634" t="s">
        <v>123</v>
      </c>
      <c r="AA32" s="591" t="s">
        <v>123</v>
      </c>
      <c r="AB32" s="569" t="s">
        <v>123</v>
      </c>
      <c r="AC32" s="571" t="s">
        <v>123</v>
      </c>
      <c r="AD32" s="572">
        <v>2722.47</v>
      </c>
      <c r="AE32" s="573">
        <v>94</v>
      </c>
      <c r="AF32" s="565">
        <v>28.962446808510638</v>
      </c>
      <c r="AG32" s="566">
        <v>94</v>
      </c>
      <c r="AH32" s="567">
        <v>0</v>
      </c>
      <c r="AI32" s="564">
        <v>74</v>
      </c>
      <c r="AJ32" s="568">
        <v>0.21276595744680851</v>
      </c>
      <c r="AK32" s="565">
        <v>36.790135135135131</v>
      </c>
      <c r="AL32" s="574">
        <v>32</v>
      </c>
      <c r="AM32" s="569">
        <v>0.34042553191489361</v>
      </c>
      <c r="AN32" s="571">
        <v>85.077187499999994</v>
      </c>
      <c r="AO32" s="635"/>
      <c r="AP32" s="575"/>
      <c r="AQ32" s="636"/>
      <c r="AR32" s="637"/>
      <c r="AS32" s="638"/>
      <c r="AT32" s="579"/>
      <c r="AU32" s="580"/>
    </row>
    <row r="33" spans="1:47" ht="21" hidden="1" customHeight="1">
      <c r="A33" t="s">
        <v>299</v>
      </c>
      <c r="B33" t="s">
        <v>270</v>
      </c>
      <c r="C33" s="759"/>
      <c r="D33" s="561" t="s">
        <v>52</v>
      </c>
      <c r="E33" s="561" t="s">
        <v>145</v>
      </c>
      <c r="F33" s="561" t="s">
        <v>44</v>
      </c>
      <c r="G33" s="562" t="s">
        <v>42</v>
      </c>
      <c r="H33" s="563">
        <v>12361.34</v>
      </c>
      <c r="I33" s="564">
        <v>326</v>
      </c>
      <c r="J33" s="565">
        <v>37.918220858895708</v>
      </c>
      <c r="K33" s="566">
        <v>306</v>
      </c>
      <c r="L33" s="567">
        <v>6.1349693251533742E-2</v>
      </c>
      <c r="M33" s="564">
        <v>269</v>
      </c>
      <c r="N33" s="568">
        <v>0.12091503267973856</v>
      </c>
      <c r="O33" s="565">
        <v>45.95293680297398</v>
      </c>
      <c r="P33" s="564">
        <v>102</v>
      </c>
      <c r="Q33" s="569">
        <v>0.33333333333333331</v>
      </c>
      <c r="R33" s="570">
        <v>121.18960784313725</v>
      </c>
      <c r="S33" s="565" t="s">
        <v>123</v>
      </c>
      <c r="T33" s="564" t="s">
        <v>123</v>
      </c>
      <c r="U33" s="634" t="s">
        <v>123</v>
      </c>
      <c r="V33" s="566" t="s">
        <v>123</v>
      </c>
      <c r="W33" s="567" t="s">
        <v>123</v>
      </c>
      <c r="X33" s="564" t="s">
        <v>123</v>
      </c>
      <c r="Y33" s="568" t="s">
        <v>123</v>
      </c>
      <c r="Z33" s="634" t="s">
        <v>123</v>
      </c>
      <c r="AA33" s="591" t="s">
        <v>123</v>
      </c>
      <c r="AB33" s="569" t="s">
        <v>123</v>
      </c>
      <c r="AC33" s="571" t="s">
        <v>123</v>
      </c>
      <c r="AD33" s="572">
        <v>12361.34</v>
      </c>
      <c r="AE33" s="573">
        <v>326</v>
      </c>
      <c r="AF33" s="565">
        <v>37.918220858895708</v>
      </c>
      <c r="AG33" s="566">
        <v>306</v>
      </c>
      <c r="AH33" s="567">
        <v>6.1349693251533742E-2</v>
      </c>
      <c r="AI33" s="564">
        <v>269</v>
      </c>
      <c r="AJ33" s="568">
        <v>0.12091503267973856</v>
      </c>
      <c r="AK33" s="565">
        <v>45.95293680297398</v>
      </c>
      <c r="AL33" s="574">
        <v>102</v>
      </c>
      <c r="AM33" s="569">
        <v>0.33333333333333331</v>
      </c>
      <c r="AN33" s="571">
        <v>121.18960784313725</v>
      </c>
      <c r="AO33" s="635"/>
      <c r="AP33" s="575"/>
      <c r="AQ33" s="636"/>
      <c r="AR33" s="637"/>
      <c r="AS33" s="638"/>
      <c r="AT33" s="579"/>
      <c r="AU33" s="580"/>
    </row>
    <row r="34" spans="1:47" ht="21" hidden="1" customHeight="1">
      <c r="A34" t="s">
        <v>300</v>
      </c>
      <c r="B34" t="s">
        <v>272</v>
      </c>
      <c r="C34" s="759"/>
      <c r="D34" s="561" t="s">
        <v>40</v>
      </c>
      <c r="E34" s="561" t="s">
        <v>57</v>
      </c>
      <c r="F34" s="561" t="s">
        <v>57</v>
      </c>
      <c r="G34" s="562" t="s">
        <v>42</v>
      </c>
      <c r="H34" s="563">
        <v>26786.560000000001</v>
      </c>
      <c r="I34" s="564">
        <v>2167</v>
      </c>
      <c r="J34" s="565">
        <v>12.361125980618366</v>
      </c>
      <c r="K34" s="566">
        <v>1560</v>
      </c>
      <c r="L34" s="567">
        <v>0.28011075219197046</v>
      </c>
      <c r="M34" s="564">
        <v>1060</v>
      </c>
      <c r="N34" s="568">
        <v>0.32051282051282054</v>
      </c>
      <c r="O34" s="565">
        <v>25.270339622641512</v>
      </c>
      <c r="P34" s="564">
        <v>15</v>
      </c>
      <c r="Q34" s="569">
        <v>9.6153846153846159E-3</v>
      </c>
      <c r="R34" s="570">
        <v>1785.7706666666668</v>
      </c>
      <c r="S34" s="565">
        <v>26786.560000000001</v>
      </c>
      <c r="T34" s="564">
        <v>2167</v>
      </c>
      <c r="U34" s="634">
        <v>12.361125980618366</v>
      </c>
      <c r="V34" s="566">
        <v>1560</v>
      </c>
      <c r="W34" s="567">
        <v>0.28011075219197046</v>
      </c>
      <c r="X34" s="564">
        <v>1060</v>
      </c>
      <c r="Y34" s="568">
        <v>0.32051282051282054</v>
      </c>
      <c r="Z34" s="634">
        <v>25.270339622641512</v>
      </c>
      <c r="AA34" s="591">
        <v>15</v>
      </c>
      <c r="AB34" s="569">
        <v>9.6153846153846159E-3</v>
      </c>
      <c r="AC34" s="571">
        <v>1785.7706666666668</v>
      </c>
      <c r="AD34" s="572" t="s">
        <v>123</v>
      </c>
      <c r="AE34" s="573" t="s">
        <v>123</v>
      </c>
      <c r="AF34" s="565" t="s">
        <v>123</v>
      </c>
      <c r="AG34" s="566" t="s">
        <v>123</v>
      </c>
      <c r="AH34" s="567" t="s">
        <v>123</v>
      </c>
      <c r="AI34" s="564" t="s">
        <v>123</v>
      </c>
      <c r="AJ34" s="568" t="s">
        <v>123</v>
      </c>
      <c r="AK34" s="565" t="s">
        <v>123</v>
      </c>
      <c r="AL34" s="574" t="s">
        <v>123</v>
      </c>
      <c r="AM34" s="569" t="s">
        <v>123</v>
      </c>
      <c r="AN34" s="571" t="s">
        <v>123</v>
      </c>
      <c r="AO34" s="635"/>
      <c r="AP34" s="575"/>
      <c r="AQ34" s="636"/>
      <c r="AR34" s="637"/>
      <c r="AS34" s="638"/>
      <c r="AT34" s="579"/>
      <c r="AU34" s="580"/>
    </row>
    <row r="35" spans="1:47" ht="21" hidden="1" customHeight="1">
      <c r="A35" t="s">
        <v>301</v>
      </c>
      <c r="B35" t="s">
        <v>274</v>
      </c>
      <c r="C35" s="759"/>
      <c r="D35" s="561" t="s">
        <v>52</v>
      </c>
      <c r="E35" s="561" t="s">
        <v>121</v>
      </c>
      <c r="F35" s="561" t="s">
        <v>44</v>
      </c>
      <c r="G35" s="562" t="s">
        <v>42</v>
      </c>
      <c r="H35" s="563">
        <v>1000.1</v>
      </c>
      <c r="I35" s="564">
        <v>4</v>
      </c>
      <c r="J35" s="565">
        <v>250.02500000000001</v>
      </c>
      <c r="K35" s="566">
        <v>5</v>
      </c>
      <c r="L35" s="567">
        <v>-0.25</v>
      </c>
      <c r="M35" s="564">
        <v>5</v>
      </c>
      <c r="N35" s="568">
        <v>0</v>
      </c>
      <c r="O35" s="565">
        <v>200.02</v>
      </c>
      <c r="P35" s="564">
        <v>3</v>
      </c>
      <c r="Q35" s="569">
        <v>0.6</v>
      </c>
      <c r="R35" s="570">
        <v>333.36666666666667</v>
      </c>
      <c r="S35" s="565" t="s">
        <v>123</v>
      </c>
      <c r="T35" s="564" t="s">
        <v>123</v>
      </c>
      <c r="U35" s="634" t="s">
        <v>123</v>
      </c>
      <c r="V35" s="566" t="s">
        <v>123</v>
      </c>
      <c r="W35" s="567" t="s">
        <v>123</v>
      </c>
      <c r="X35" s="564" t="s">
        <v>123</v>
      </c>
      <c r="Y35" s="568" t="s">
        <v>123</v>
      </c>
      <c r="Z35" s="634" t="s">
        <v>123</v>
      </c>
      <c r="AA35" s="591" t="s">
        <v>123</v>
      </c>
      <c r="AB35" s="569" t="s">
        <v>123</v>
      </c>
      <c r="AC35" s="571" t="s">
        <v>123</v>
      </c>
      <c r="AD35" s="572">
        <v>1000.1</v>
      </c>
      <c r="AE35" s="573">
        <v>4</v>
      </c>
      <c r="AF35" s="565">
        <v>250.02500000000001</v>
      </c>
      <c r="AG35" s="566">
        <v>5</v>
      </c>
      <c r="AH35" s="567">
        <v>-0.25</v>
      </c>
      <c r="AI35" s="564">
        <v>5</v>
      </c>
      <c r="AJ35" s="568">
        <v>0</v>
      </c>
      <c r="AK35" s="565">
        <v>200.02</v>
      </c>
      <c r="AL35" s="574">
        <v>3</v>
      </c>
      <c r="AM35" s="569">
        <v>0.6</v>
      </c>
      <c r="AN35" s="571">
        <v>333.36666666666667</v>
      </c>
      <c r="AO35" s="635"/>
      <c r="AP35" s="575"/>
      <c r="AQ35" s="636"/>
      <c r="AR35" s="637"/>
      <c r="AS35" s="638"/>
      <c r="AT35" s="579"/>
      <c r="AU35" s="580"/>
    </row>
    <row r="36" spans="1:47" ht="21" hidden="1" customHeight="1">
      <c r="A36" t="s">
        <v>302</v>
      </c>
      <c r="B36" t="s">
        <v>276</v>
      </c>
      <c r="C36" s="759"/>
      <c r="D36" s="561" t="s">
        <v>40</v>
      </c>
      <c r="E36" s="561" t="s">
        <v>142</v>
      </c>
      <c r="F36" s="561" t="s">
        <v>44</v>
      </c>
      <c r="G36" s="562" t="s">
        <v>60</v>
      </c>
      <c r="H36" s="563">
        <v>2887.6</v>
      </c>
      <c r="I36" s="564">
        <v>85</v>
      </c>
      <c r="J36" s="565">
        <v>33.97176470588235</v>
      </c>
      <c r="K36" s="566">
        <v>77</v>
      </c>
      <c r="L36" s="567">
        <v>9.4117647058823528E-2</v>
      </c>
      <c r="M36" s="564">
        <v>64</v>
      </c>
      <c r="N36" s="568">
        <v>0.16883116883116883</v>
      </c>
      <c r="O36" s="565">
        <v>45.118749999999999</v>
      </c>
      <c r="P36" s="564">
        <v>27</v>
      </c>
      <c r="Q36" s="569">
        <v>0.35064935064935066</v>
      </c>
      <c r="R36" s="570">
        <v>106.94814814814815</v>
      </c>
      <c r="S36" s="565" t="s">
        <v>123</v>
      </c>
      <c r="T36" s="564" t="s">
        <v>123</v>
      </c>
      <c r="U36" s="634" t="s">
        <v>123</v>
      </c>
      <c r="V36" s="566" t="s">
        <v>123</v>
      </c>
      <c r="W36" s="567" t="s">
        <v>123</v>
      </c>
      <c r="X36" s="564" t="s">
        <v>123</v>
      </c>
      <c r="Y36" s="568" t="s">
        <v>123</v>
      </c>
      <c r="Z36" s="634" t="s">
        <v>123</v>
      </c>
      <c r="AA36" s="591" t="s">
        <v>123</v>
      </c>
      <c r="AB36" s="569" t="s">
        <v>123</v>
      </c>
      <c r="AC36" s="571" t="s">
        <v>123</v>
      </c>
      <c r="AD36" s="572">
        <v>2887.6</v>
      </c>
      <c r="AE36" s="573">
        <v>85</v>
      </c>
      <c r="AF36" s="565">
        <v>33.97176470588235</v>
      </c>
      <c r="AG36" s="566">
        <v>77</v>
      </c>
      <c r="AH36" s="567">
        <v>9.4117647058823528E-2</v>
      </c>
      <c r="AI36" s="564">
        <v>64</v>
      </c>
      <c r="AJ36" s="568">
        <v>0.16883116883116883</v>
      </c>
      <c r="AK36" s="565">
        <v>45.118749999999999</v>
      </c>
      <c r="AL36" s="574">
        <v>27</v>
      </c>
      <c r="AM36" s="569">
        <v>0.35064935064935066</v>
      </c>
      <c r="AN36" s="571">
        <v>106.94814814814815</v>
      </c>
      <c r="AO36" s="635"/>
      <c r="AP36" s="575"/>
      <c r="AQ36" s="636"/>
      <c r="AR36" s="637"/>
      <c r="AS36" s="638"/>
      <c r="AT36" s="579"/>
      <c r="AU36" s="580"/>
    </row>
    <row r="37" spans="1:47" ht="21" hidden="1" customHeight="1">
      <c r="A37" t="s">
        <v>303</v>
      </c>
      <c r="B37" t="s">
        <v>278</v>
      </c>
      <c r="C37" s="759"/>
      <c r="D37" s="561" t="s">
        <v>52</v>
      </c>
      <c r="E37" s="561" t="s">
        <v>145</v>
      </c>
      <c r="F37" s="561" t="s">
        <v>44</v>
      </c>
      <c r="G37" s="562" t="s">
        <v>60</v>
      </c>
      <c r="H37" s="563">
        <v>26328.400000000001</v>
      </c>
      <c r="I37" s="564">
        <v>473</v>
      </c>
      <c r="J37" s="565">
        <v>55.662579281183937</v>
      </c>
      <c r="K37" s="566">
        <v>412</v>
      </c>
      <c r="L37" s="567">
        <v>0.12896405919661733</v>
      </c>
      <c r="M37" s="564">
        <v>363</v>
      </c>
      <c r="N37" s="568">
        <v>0.11893203883495146</v>
      </c>
      <c r="O37" s="565">
        <v>72.530027548209375</v>
      </c>
      <c r="P37" s="564">
        <v>124</v>
      </c>
      <c r="Q37" s="569">
        <v>0.30097087378640774</v>
      </c>
      <c r="R37" s="570">
        <v>212.32580645161292</v>
      </c>
      <c r="S37" s="565" t="s">
        <v>123</v>
      </c>
      <c r="T37" s="564" t="s">
        <v>123</v>
      </c>
      <c r="U37" s="634" t="s">
        <v>123</v>
      </c>
      <c r="V37" s="566" t="s">
        <v>123</v>
      </c>
      <c r="W37" s="567" t="s">
        <v>123</v>
      </c>
      <c r="X37" s="564" t="s">
        <v>123</v>
      </c>
      <c r="Y37" s="568" t="s">
        <v>123</v>
      </c>
      <c r="Z37" s="634" t="s">
        <v>123</v>
      </c>
      <c r="AA37" s="591" t="s">
        <v>123</v>
      </c>
      <c r="AB37" s="569" t="s">
        <v>123</v>
      </c>
      <c r="AC37" s="571" t="s">
        <v>123</v>
      </c>
      <c r="AD37" s="572">
        <v>26328.400000000001</v>
      </c>
      <c r="AE37" s="573">
        <v>473</v>
      </c>
      <c r="AF37" s="565">
        <v>55.662579281183937</v>
      </c>
      <c r="AG37" s="566">
        <v>412</v>
      </c>
      <c r="AH37" s="567">
        <v>0.12896405919661733</v>
      </c>
      <c r="AI37" s="564">
        <v>363</v>
      </c>
      <c r="AJ37" s="568">
        <v>0.11893203883495146</v>
      </c>
      <c r="AK37" s="565">
        <v>72.530027548209375</v>
      </c>
      <c r="AL37" s="574">
        <v>124</v>
      </c>
      <c r="AM37" s="569">
        <v>0.30097087378640774</v>
      </c>
      <c r="AN37" s="571">
        <v>212.32580645161292</v>
      </c>
      <c r="AO37" s="635"/>
      <c r="AP37" s="575"/>
      <c r="AQ37" s="636"/>
      <c r="AR37" s="637"/>
      <c r="AS37" s="638"/>
      <c r="AT37" s="579"/>
      <c r="AU37" s="580"/>
    </row>
    <row r="38" spans="1:47" ht="21" hidden="1" customHeight="1">
      <c r="A38" t="s">
        <v>304</v>
      </c>
      <c r="B38" t="s">
        <v>280</v>
      </c>
      <c r="C38" s="760"/>
      <c r="D38" s="584" t="s">
        <v>40</v>
      </c>
      <c r="E38" s="584" t="s">
        <v>57</v>
      </c>
      <c r="F38" s="584" t="s">
        <v>57</v>
      </c>
      <c r="G38" s="585" t="s">
        <v>60</v>
      </c>
      <c r="H38" s="563">
        <v>37613.019999999997</v>
      </c>
      <c r="I38" s="581">
        <v>1557</v>
      </c>
      <c r="J38" s="582">
        <v>24.15736673089274</v>
      </c>
      <c r="K38" s="566">
        <v>826</v>
      </c>
      <c r="L38" s="567">
        <v>0.4694926140012845</v>
      </c>
      <c r="M38" s="564">
        <v>577</v>
      </c>
      <c r="N38" s="568">
        <v>0.30145278450363194</v>
      </c>
      <c r="O38" s="586">
        <v>65.187209705372609</v>
      </c>
      <c r="P38" s="564">
        <v>144</v>
      </c>
      <c r="Q38" s="569">
        <v>0.17433414043583534</v>
      </c>
      <c r="R38" s="570">
        <v>261.20152777777776</v>
      </c>
      <c r="S38" s="565">
        <v>37613.019999999997</v>
      </c>
      <c r="T38" s="564">
        <v>1557</v>
      </c>
      <c r="U38" s="639">
        <v>24.15736673089274</v>
      </c>
      <c r="V38" s="566">
        <v>826</v>
      </c>
      <c r="W38" s="567">
        <v>0.4694926140012845</v>
      </c>
      <c r="X38" s="564">
        <v>577</v>
      </c>
      <c r="Y38" s="568">
        <v>0.30145278450363194</v>
      </c>
      <c r="Z38" s="640">
        <v>65.187209705372609</v>
      </c>
      <c r="AA38" s="591">
        <v>144</v>
      </c>
      <c r="AB38" s="569">
        <v>0.17433414043583534</v>
      </c>
      <c r="AC38" s="571">
        <v>261.20152777777776</v>
      </c>
      <c r="AD38" s="572" t="s">
        <v>123</v>
      </c>
      <c r="AE38" s="573" t="s">
        <v>123</v>
      </c>
      <c r="AF38" s="565" t="s">
        <v>123</v>
      </c>
      <c r="AG38" s="566" t="s">
        <v>123</v>
      </c>
      <c r="AH38" s="567" t="s">
        <v>123</v>
      </c>
      <c r="AI38" s="564" t="s">
        <v>123</v>
      </c>
      <c r="AJ38" s="568" t="s">
        <v>123</v>
      </c>
      <c r="AK38" s="586" t="s">
        <v>123</v>
      </c>
      <c r="AL38" s="574" t="s">
        <v>123</v>
      </c>
      <c r="AM38" s="569" t="s">
        <v>123</v>
      </c>
      <c r="AN38" s="571" t="s">
        <v>123</v>
      </c>
      <c r="AO38" s="635"/>
      <c r="AP38" s="587"/>
      <c r="AQ38" s="636"/>
      <c r="AR38" s="641"/>
      <c r="AS38" s="638"/>
      <c r="AT38" s="579"/>
      <c r="AU38" s="580"/>
    </row>
    <row r="39" spans="1:47" ht="49.95" customHeight="1">
      <c r="C39" s="758" t="s">
        <v>185</v>
      </c>
      <c r="D39" s="541"/>
      <c r="E39" s="541"/>
      <c r="F39" s="541"/>
      <c r="G39" s="542" t="s">
        <v>139</v>
      </c>
      <c r="H39" s="543">
        <v>125381.20999999999</v>
      </c>
      <c r="I39" s="544">
        <v>5487</v>
      </c>
      <c r="J39" s="545">
        <v>22.85059413158374</v>
      </c>
      <c r="K39" s="546">
        <v>3618</v>
      </c>
      <c r="L39" s="547">
        <v>0.34062329141607434</v>
      </c>
      <c r="M39" s="544">
        <v>3370</v>
      </c>
      <c r="N39" s="548">
        <v>6.8546158098396898E-2</v>
      </c>
      <c r="O39" s="549">
        <v>37.205106824925814</v>
      </c>
      <c r="P39" s="544">
        <v>508</v>
      </c>
      <c r="Q39" s="548">
        <v>0.14040906578220011</v>
      </c>
      <c r="R39" s="550">
        <v>246.813405511811</v>
      </c>
      <c r="S39" s="545">
        <v>70329.03</v>
      </c>
      <c r="T39" s="544">
        <v>4331</v>
      </c>
      <c r="U39" s="627">
        <v>16.238519972292774</v>
      </c>
      <c r="V39" s="546">
        <v>2554</v>
      </c>
      <c r="W39" s="547">
        <v>0.41029785268990993</v>
      </c>
      <c r="X39" s="544">
        <v>2334</v>
      </c>
      <c r="Y39" s="548">
        <v>8.6139389193422081E-2</v>
      </c>
      <c r="Z39" s="628">
        <v>30.13240359897172</v>
      </c>
      <c r="AA39" s="629">
        <v>175</v>
      </c>
      <c r="AB39" s="548">
        <v>6.8519968676585746E-2</v>
      </c>
      <c r="AC39" s="551">
        <v>401.88017142857143</v>
      </c>
      <c r="AD39" s="552">
        <v>55052.180000000008</v>
      </c>
      <c r="AE39" s="553">
        <v>1156</v>
      </c>
      <c r="AF39" s="549">
        <v>47.622993079584781</v>
      </c>
      <c r="AG39" s="546">
        <v>1064</v>
      </c>
      <c r="AH39" s="547">
        <v>7.9584775086505188E-2</v>
      </c>
      <c r="AI39" s="553">
        <v>1036</v>
      </c>
      <c r="AJ39" s="548">
        <v>2.6315789473684209E-2</v>
      </c>
      <c r="AK39" s="549">
        <v>53.139169884169888</v>
      </c>
      <c r="AL39" s="554">
        <v>333</v>
      </c>
      <c r="AM39" s="548">
        <v>0.31296992481203006</v>
      </c>
      <c r="AN39" s="551">
        <v>165.32186186186189</v>
      </c>
      <c r="AO39" s="630">
        <v>0.89229999999999998</v>
      </c>
      <c r="AP39" s="555">
        <v>0.7782</v>
      </c>
      <c r="AQ39" s="631">
        <v>0.78620000000000001</v>
      </c>
      <c r="AR39" s="632">
        <v>0.78220000000000001</v>
      </c>
      <c r="AS39" s="633">
        <v>2.34</v>
      </c>
      <c r="AT39" s="583" t="s">
        <v>305</v>
      </c>
      <c r="AU39" s="589" t="s">
        <v>306</v>
      </c>
    </row>
    <row r="40" spans="1:47" ht="21" hidden="1" customHeight="1">
      <c r="A40" t="s">
        <v>307</v>
      </c>
      <c r="B40" t="s">
        <v>268</v>
      </c>
      <c r="C40" s="759"/>
      <c r="D40" s="561" t="s">
        <v>40</v>
      </c>
      <c r="E40" s="561" t="s">
        <v>142</v>
      </c>
      <c r="F40" s="561" t="s">
        <v>44</v>
      </c>
      <c r="G40" s="562" t="s">
        <v>42</v>
      </c>
      <c r="H40" s="563">
        <v>2866.36</v>
      </c>
      <c r="I40" s="564">
        <v>86</v>
      </c>
      <c r="J40" s="565">
        <v>33.329767441860469</v>
      </c>
      <c r="K40" s="566">
        <v>95</v>
      </c>
      <c r="L40" s="567">
        <v>-0.10465116279069768</v>
      </c>
      <c r="M40" s="564">
        <v>94</v>
      </c>
      <c r="N40" s="568">
        <v>1.0526315789473684E-2</v>
      </c>
      <c r="O40" s="565">
        <v>30.493191489361703</v>
      </c>
      <c r="P40" s="564">
        <v>37</v>
      </c>
      <c r="Q40" s="569">
        <v>0.38947368421052631</v>
      </c>
      <c r="R40" s="570">
        <v>77.469189189189194</v>
      </c>
      <c r="S40" s="565" t="s">
        <v>123</v>
      </c>
      <c r="T40" s="564" t="s">
        <v>123</v>
      </c>
      <c r="U40" s="634" t="s">
        <v>123</v>
      </c>
      <c r="V40" s="566" t="s">
        <v>123</v>
      </c>
      <c r="W40" s="567" t="s">
        <v>123</v>
      </c>
      <c r="X40" s="564" t="s">
        <v>123</v>
      </c>
      <c r="Y40" s="568" t="s">
        <v>123</v>
      </c>
      <c r="Z40" s="634" t="s">
        <v>123</v>
      </c>
      <c r="AA40" s="591" t="s">
        <v>123</v>
      </c>
      <c r="AB40" s="569" t="s">
        <v>123</v>
      </c>
      <c r="AC40" s="571" t="s">
        <v>123</v>
      </c>
      <c r="AD40" s="572">
        <v>2866.36</v>
      </c>
      <c r="AE40" s="573">
        <v>86</v>
      </c>
      <c r="AF40" s="565">
        <v>33.329767441860469</v>
      </c>
      <c r="AG40" s="566">
        <v>95</v>
      </c>
      <c r="AH40" s="567">
        <v>-0.10465116279069768</v>
      </c>
      <c r="AI40" s="564">
        <v>94</v>
      </c>
      <c r="AJ40" s="568">
        <v>1.0526315789473684E-2</v>
      </c>
      <c r="AK40" s="565">
        <v>30.493191489361703</v>
      </c>
      <c r="AL40" s="574">
        <v>37</v>
      </c>
      <c r="AM40" s="569">
        <v>0.38947368421052631</v>
      </c>
      <c r="AN40" s="571">
        <v>77.469189189189194</v>
      </c>
      <c r="AO40" s="635"/>
      <c r="AP40" s="575"/>
      <c r="AQ40" s="636"/>
      <c r="AR40" s="637"/>
      <c r="AS40" s="642"/>
      <c r="AT40" s="579"/>
      <c r="AU40" s="580"/>
    </row>
    <row r="41" spans="1:47" ht="21" hidden="1" customHeight="1">
      <c r="A41" t="s">
        <v>308</v>
      </c>
      <c r="B41" t="s">
        <v>270</v>
      </c>
      <c r="C41" s="759"/>
      <c r="D41" s="561" t="s">
        <v>52</v>
      </c>
      <c r="E41" s="561" t="s">
        <v>145</v>
      </c>
      <c r="F41" s="561" t="s">
        <v>44</v>
      </c>
      <c r="G41" s="562" t="s">
        <v>42</v>
      </c>
      <c r="H41" s="563">
        <v>16570.810000000001</v>
      </c>
      <c r="I41" s="564">
        <v>365</v>
      </c>
      <c r="J41" s="565">
        <v>45.399479452054798</v>
      </c>
      <c r="K41" s="566">
        <v>337</v>
      </c>
      <c r="L41" s="567">
        <v>7.6712328767123292E-2</v>
      </c>
      <c r="M41" s="564">
        <v>326</v>
      </c>
      <c r="N41" s="568">
        <v>3.2640949554896145E-2</v>
      </c>
      <c r="O41" s="565">
        <v>50.830705521472396</v>
      </c>
      <c r="P41" s="564">
        <v>102</v>
      </c>
      <c r="Q41" s="569">
        <v>0.30267062314540061</v>
      </c>
      <c r="R41" s="570">
        <v>162.45892156862746</v>
      </c>
      <c r="S41" s="565" t="s">
        <v>123</v>
      </c>
      <c r="T41" s="564" t="s">
        <v>123</v>
      </c>
      <c r="U41" s="634" t="s">
        <v>123</v>
      </c>
      <c r="V41" s="566" t="s">
        <v>123</v>
      </c>
      <c r="W41" s="567" t="s">
        <v>123</v>
      </c>
      <c r="X41" s="564" t="s">
        <v>123</v>
      </c>
      <c r="Y41" s="568" t="s">
        <v>123</v>
      </c>
      <c r="Z41" s="634" t="s">
        <v>123</v>
      </c>
      <c r="AA41" s="591" t="s">
        <v>123</v>
      </c>
      <c r="AB41" s="569" t="s">
        <v>123</v>
      </c>
      <c r="AC41" s="571" t="s">
        <v>123</v>
      </c>
      <c r="AD41" s="572">
        <v>16570.810000000001</v>
      </c>
      <c r="AE41" s="573">
        <v>365</v>
      </c>
      <c r="AF41" s="565">
        <v>45.399479452054798</v>
      </c>
      <c r="AG41" s="566">
        <v>337</v>
      </c>
      <c r="AH41" s="567">
        <v>7.6712328767123292E-2</v>
      </c>
      <c r="AI41" s="564">
        <v>326</v>
      </c>
      <c r="AJ41" s="568">
        <v>3.2640949554896145E-2</v>
      </c>
      <c r="AK41" s="565">
        <v>50.830705521472396</v>
      </c>
      <c r="AL41" s="574">
        <v>102</v>
      </c>
      <c r="AM41" s="569">
        <v>0.30267062314540061</v>
      </c>
      <c r="AN41" s="571">
        <v>162.45892156862746</v>
      </c>
      <c r="AO41" s="635"/>
      <c r="AP41" s="575"/>
      <c r="AQ41" s="636"/>
      <c r="AR41" s="637"/>
      <c r="AS41" s="642"/>
      <c r="AT41" s="579"/>
      <c r="AU41" s="580"/>
    </row>
    <row r="42" spans="1:47" ht="21" hidden="1" customHeight="1">
      <c r="A42" t="s">
        <v>309</v>
      </c>
      <c r="B42" t="s">
        <v>272</v>
      </c>
      <c r="C42" s="759"/>
      <c r="D42" s="561" t="s">
        <v>40</v>
      </c>
      <c r="E42" s="561" t="s">
        <v>57</v>
      </c>
      <c r="F42" s="561" t="s">
        <v>57</v>
      </c>
      <c r="G42" s="562" t="s">
        <v>42</v>
      </c>
      <c r="H42" s="563">
        <v>26761.07</v>
      </c>
      <c r="I42" s="564">
        <v>2304</v>
      </c>
      <c r="J42" s="565">
        <v>11.615047743055555</v>
      </c>
      <c r="K42" s="566">
        <v>1534</v>
      </c>
      <c r="L42" s="567">
        <v>0.3342013888888889</v>
      </c>
      <c r="M42" s="564">
        <v>1395</v>
      </c>
      <c r="N42" s="568">
        <v>9.0612777053455024E-2</v>
      </c>
      <c r="O42" s="565">
        <v>19.183562724014337</v>
      </c>
      <c r="P42" s="564">
        <v>15</v>
      </c>
      <c r="Q42" s="569">
        <v>9.778357235984355E-3</v>
      </c>
      <c r="R42" s="570">
        <v>1784.0713333333333</v>
      </c>
      <c r="S42" s="565">
        <v>26761.07</v>
      </c>
      <c r="T42" s="564">
        <v>2304</v>
      </c>
      <c r="U42" s="634">
        <v>11.615047743055555</v>
      </c>
      <c r="V42" s="566">
        <v>1534</v>
      </c>
      <c r="W42" s="567">
        <v>0.3342013888888889</v>
      </c>
      <c r="X42" s="564">
        <v>1395</v>
      </c>
      <c r="Y42" s="568">
        <v>9.0612777053455024E-2</v>
      </c>
      <c r="Z42" s="634">
        <v>19.183562724014337</v>
      </c>
      <c r="AA42" s="591">
        <v>15</v>
      </c>
      <c r="AB42" s="569">
        <v>9.778357235984355E-3</v>
      </c>
      <c r="AC42" s="571">
        <v>1784.0713333333333</v>
      </c>
      <c r="AD42" s="572" t="s">
        <v>123</v>
      </c>
      <c r="AE42" s="573" t="s">
        <v>123</v>
      </c>
      <c r="AF42" s="565" t="s">
        <v>123</v>
      </c>
      <c r="AG42" s="566" t="s">
        <v>123</v>
      </c>
      <c r="AH42" s="567" t="s">
        <v>123</v>
      </c>
      <c r="AI42" s="564" t="s">
        <v>123</v>
      </c>
      <c r="AJ42" s="568" t="s">
        <v>123</v>
      </c>
      <c r="AK42" s="565" t="s">
        <v>123</v>
      </c>
      <c r="AL42" s="574" t="s">
        <v>123</v>
      </c>
      <c r="AM42" s="569" t="s">
        <v>123</v>
      </c>
      <c r="AN42" s="571" t="s">
        <v>123</v>
      </c>
      <c r="AO42" s="635"/>
      <c r="AP42" s="575"/>
      <c r="AQ42" s="636"/>
      <c r="AR42" s="637"/>
      <c r="AS42" s="642"/>
      <c r="AT42" s="579"/>
      <c r="AU42" s="580"/>
    </row>
    <row r="43" spans="1:47" ht="21" hidden="1" customHeight="1">
      <c r="A43" t="s">
        <v>310</v>
      </c>
      <c r="B43" t="s">
        <v>274</v>
      </c>
      <c r="C43" s="759"/>
      <c r="D43" s="561" t="s">
        <v>52</v>
      </c>
      <c r="E43" s="561" t="s">
        <v>121</v>
      </c>
      <c r="F43" s="561" t="s">
        <v>44</v>
      </c>
      <c r="G43" s="562" t="s">
        <v>42</v>
      </c>
      <c r="H43" s="563">
        <v>879.08</v>
      </c>
      <c r="I43" s="564">
        <v>6</v>
      </c>
      <c r="J43" s="565">
        <v>146.51333333333335</v>
      </c>
      <c r="K43" s="566">
        <v>6</v>
      </c>
      <c r="L43" s="567">
        <v>0</v>
      </c>
      <c r="M43" s="564">
        <v>6</v>
      </c>
      <c r="N43" s="568">
        <v>0</v>
      </c>
      <c r="O43" s="565">
        <v>146.51333333333335</v>
      </c>
      <c r="P43" s="564">
        <v>2</v>
      </c>
      <c r="Q43" s="569">
        <v>0.33333333333333331</v>
      </c>
      <c r="R43" s="570">
        <v>439.54</v>
      </c>
      <c r="S43" s="565" t="s">
        <v>123</v>
      </c>
      <c r="T43" s="564" t="s">
        <v>123</v>
      </c>
      <c r="U43" s="634" t="s">
        <v>123</v>
      </c>
      <c r="V43" s="566" t="s">
        <v>123</v>
      </c>
      <c r="W43" s="567" t="s">
        <v>123</v>
      </c>
      <c r="X43" s="564" t="s">
        <v>123</v>
      </c>
      <c r="Y43" s="568" t="s">
        <v>123</v>
      </c>
      <c r="Z43" s="634" t="s">
        <v>123</v>
      </c>
      <c r="AA43" s="591" t="s">
        <v>123</v>
      </c>
      <c r="AB43" s="569" t="s">
        <v>123</v>
      </c>
      <c r="AC43" s="571" t="s">
        <v>123</v>
      </c>
      <c r="AD43" s="572">
        <v>879.08</v>
      </c>
      <c r="AE43" s="573">
        <v>6</v>
      </c>
      <c r="AF43" s="565">
        <v>146.51333333333335</v>
      </c>
      <c r="AG43" s="566">
        <v>6</v>
      </c>
      <c r="AH43" s="567">
        <v>0</v>
      </c>
      <c r="AI43" s="564">
        <v>6</v>
      </c>
      <c r="AJ43" s="568">
        <v>0</v>
      </c>
      <c r="AK43" s="565">
        <v>146.51333333333335</v>
      </c>
      <c r="AL43" s="574">
        <v>2</v>
      </c>
      <c r="AM43" s="569">
        <v>0.33333333333333331</v>
      </c>
      <c r="AN43" s="571">
        <v>439.54</v>
      </c>
      <c r="AO43" s="635"/>
      <c r="AP43" s="575"/>
      <c r="AQ43" s="636"/>
      <c r="AR43" s="637"/>
      <c r="AS43" s="642"/>
      <c r="AT43" s="579"/>
      <c r="AU43" s="580"/>
    </row>
    <row r="44" spans="1:47" ht="21" hidden="1" customHeight="1">
      <c r="A44" t="s">
        <v>311</v>
      </c>
      <c r="B44" t="s">
        <v>276</v>
      </c>
      <c r="C44" s="759"/>
      <c r="D44" s="561" t="s">
        <v>40</v>
      </c>
      <c r="E44" s="561" t="s">
        <v>142</v>
      </c>
      <c r="F44" s="561" t="s">
        <v>44</v>
      </c>
      <c r="G44" s="562" t="s">
        <v>60</v>
      </c>
      <c r="H44" s="563">
        <v>2979.25</v>
      </c>
      <c r="I44" s="564">
        <v>105</v>
      </c>
      <c r="J44" s="565">
        <v>28.373809523809523</v>
      </c>
      <c r="K44" s="566">
        <v>90</v>
      </c>
      <c r="L44" s="567">
        <v>0.14285714285714285</v>
      </c>
      <c r="M44" s="564">
        <v>90</v>
      </c>
      <c r="N44" s="568">
        <v>0</v>
      </c>
      <c r="O44" s="565">
        <v>33.102777777777774</v>
      </c>
      <c r="P44" s="564">
        <v>35</v>
      </c>
      <c r="Q44" s="569">
        <v>0.3888888888888889</v>
      </c>
      <c r="R44" s="570">
        <v>85.121428571428567</v>
      </c>
      <c r="S44" s="565" t="s">
        <v>123</v>
      </c>
      <c r="T44" s="564" t="s">
        <v>123</v>
      </c>
      <c r="U44" s="634" t="s">
        <v>123</v>
      </c>
      <c r="V44" s="566" t="s">
        <v>123</v>
      </c>
      <c r="W44" s="567" t="s">
        <v>123</v>
      </c>
      <c r="X44" s="564" t="s">
        <v>123</v>
      </c>
      <c r="Y44" s="568" t="s">
        <v>123</v>
      </c>
      <c r="Z44" s="634" t="s">
        <v>123</v>
      </c>
      <c r="AA44" s="591" t="s">
        <v>123</v>
      </c>
      <c r="AB44" s="569" t="s">
        <v>123</v>
      </c>
      <c r="AC44" s="571" t="s">
        <v>123</v>
      </c>
      <c r="AD44" s="572">
        <v>2979.25</v>
      </c>
      <c r="AE44" s="573">
        <v>105</v>
      </c>
      <c r="AF44" s="565">
        <v>28.373809523809523</v>
      </c>
      <c r="AG44" s="566">
        <v>90</v>
      </c>
      <c r="AH44" s="567">
        <v>0.14285714285714285</v>
      </c>
      <c r="AI44" s="564">
        <v>90</v>
      </c>
      <c r="AJ44" s="568">
        <v>0</v>
      </c>
      <c r="AK44" s="565">
        <v>33.102777777777774</v>
      </c>
      <c r="AL44" s="574">
        <v>35</v>
      </c>
      <c r="AM44" s="569">
        <v>0.3888888888888889</v>
      </c>
      <c r="AN44" s="571">
        <v>85.121428571428567</v>
      </c>
      <c r="AO44" s="635"/>
      <c r="AP44" s="575"/>
      <c r="AQ44" s="636"/>
      <c r="AR44" s="637"/>
      <c r="AS44" s="642"/>
      <c r="AT44" s="579"/>
      <c r="AU44" s="580"/>
    </row>
    <row r="45" spans="1:47" ht="21" hidden="1" customHeight="1">
      <c r="A45" t="s">
        <v>312</v>
      </c>
      <c r="B45" t="s">
        <v>278</v>
      </c>
      <c r="C45" s="759"/>
      <c r="D45" s="561" t="s">
        <v>52</v>
      </c>
      <c r="E45" s="561" t="s">
        <v>145</v>
      </c>
      <c r="F45" s="561" t="s">
        <v>44</v>
      </c>
      <c r="G45" s="562" t="s">
        <v>60</v>
      </c>
      <c r="H45" s="563">
        <v>31756.68</v>
      </c>
      <c r="I45" s="564">
        <v>594</v>
      </c>
      <c r="J45" s="565">
        <v>53.462424242424241</v>
      </c>
      <c r="K45" s="566">
        <v>536</v>
      </c>
      <c r="L45" s="567">
        <v>9.7643097643097643E-2</v>
      </c>
      <c r="M45" s="564">
        <v>520</v>
      </c>
      <c r="N45" s="568">
        <v>2.9850746268656716E-2</v>
      </c>
      <c r="O45" s="565">
        <v>61.070538461538462</v>
      </c>
      <c r="P45" s="564">
        <v>157</v>
      </c>
      <c r="Q45" s="569">
        <v>0.29291044776119401</v>
      </c>
      <c r="R45" s="570">
        <v>202.27184713375797</v>
      </c>
      <c r="S45" s="565" t="s">
        <v>123</v>
      </c>
      <c r="T45" s="564" t="s">
        <v>123</v>
      </c>
      <c r="U45" s="634" t="s">
        <v>123</v>
      </c>
      <c r="V45" s="566" t="s">
        <v>123</v>
      </c>
      <c r="W45" s="567" t="s">
        <v>123</v>
      </c>
      <c r="X45" s="564" t="s">
        <v>123</v>
      </c>
      <c r="Y45" s="568" t="s">
        <v>123</v>
      </c>
      <c r="Z45" s="634" t="s">
        <v>123</v>
      </c>
      <c r="AA45" s="591" t="s">
        <v>123</v>
      </c>
      <c r="AB45" s="569" t="s">
        <v>123</v>
      </c>
      <c r="AC45" s="571" t="s">
        <v>123</v>
      </c>
      <c r="AD45" s="572">
        <v>31756.68</v>
      </c>
      <c r="AE45" s="573">
        <v>594</v>
      </c>
      <c r="AF45" s="565">
        <v>53.462424242424241</v>
      </c>
      <c r="AG45" s="566">
        <v>536</v>
      </c>
      <c r="AH45" s="567">
        <v>9.7643097643097643E-2</v>
      </c>
      <c r="AI45" s="564">
        <v>520</v>
      </c>
      <c r="AJ45" s="568">
        <v>2.9850746268656716E-2</v>
      </c>
      <c r="AK45" s="565">
        <v>61.070538461538462</v>
      </c>
      <c r="AL45" s="574">
        <v>157</v>
      </c>
      <c r="AM45" s="569">
        <v>0.29291044776119401</v>
      </c>
      <c r="AN45" s="571">
        <v>202.27184713375797</v>
      </c>
      <c r="AO45" s="635"/>
      <c r="AP45" s="575"/>
      <c r="AQ45" s="636"/>
      <c r="AR45" s="637"/>
      <c r="AS45" s="642"/>
      <c r="AT45" s="579"/>
      <c r="AU45" s="580"/>
    </row>
    <row r="46" spans="1:47" ht="21" hidden="1" customHeight="1">
      <c r="A46" t="s">
        <v>313</v>
      </c>
      <c r="B46" t="s">
        <v>280</v>
      </c>
      <c r="C46" s="760"/>
      <c r="D46" s="584" t="s">
        <v>40</v>
      </c>
      <c r="E46" s="584" t="s">
        <v>57</v>
      </c>
      <c r="F46" s="584" t="s">
        <v>57</v>
      </c>
      <c r="G46" s="585" t="s">
        <v>60</v>
      </c>
      <c r="H46" s="563">
        <v>43567.96</v>
      </c>
      <c r="I46" s="581">
        <v>2027</v>
      </c>
      <c r="J46" s="582">
        <v>21.493813517513566</v>
      </c>
      <c r="K46" s="566">
        <v>1020</v>
      </c>
      <c r="L46" s="567">
        <v>0.49679329057720767</v>
      </c>
      <c r="M46" s="564">
        <v>939</v>
      </c>
      <c r="N46" s="568">
        <v>7.9411764705882348E-2</v>
      </c>
      <c r="O46" s="586">
        <v>46.39825346112886</v>
      </c>
      <c r="P46" s="564">
        <v>160</v>
      </c>
      <c r="Q46" s="569">
        <v>0.15686274509803921</v>
      </c>
      <c r="R46" s="570">
        <v>272.29975000000002</v>
      </c>
      <c r="S46" s="565">
        <v>43567.96</v>
      </c>
      <c r="T46" s="564">
        <v>2027</v>
      </c>
      <c r="U46" s="639">
        <v>21.493813517513566</v>
      </c>
      <c r="V46" s="566">
        <v>1020</v>
      </c>
      <c r="W46" s="567">
        <v>0.49679329057720767</v>
      </c>
      <c r="X46" s="564">
        <v>939</v>
      </c>
      <c r="Y46" s="568">
        <v>7.9411764705882348E-2</v>
      </c>
      <c r="Z46" s="640">
        <v>46.39825346112886</v>
      </c>
      <c r="AA46" s="591">
        <v>160</v>
      </c>
      <c r="AB46" s="569">
        <v>0.15686274509803921</v>
      </c>
      <c r="AC46" s="571">
        <v>272.29975000000002</v>
      </c>
      <c r="AD46" s="572" t="s">
        <v>123</v>
      </c>
      <c r="AE46" s="573" t="s">
        <v>123</v>
      </c>
      <c r="AF46" s="565" t="s">
        <v>123</v>
      </c>
      <c r="AG46" s="566" t="s">
        <v>123</v>
      </c>
      <c r="AH46" s="567" t="s">
        <v>123</v>
      </c>
      <c r="AI46" s="564" t="s">
        <v>123</v>
      </c>
      <c r="AJ46" s="568" t="s">
        <v>123</v>
      </c>
      <c r="AK46" s="586" t="s">
        <v>123</v>
      </c>
      <c r="AL46" s="574" t="s">
        <v>123</v>
      </c>
      <c r="AM46" s="569" t="s">
        <v>123</v>
      </c>
      <c r="AN46" s="571" t="s">
        <v>123</v>
      </c>
      <c r="AO46" s="635"/>
      <c r="AP46" s="587"/>
      <c r="AQ46" s="636"/>
      <c r="AR46" s="641"/>
      <c r="AS46" s="642"/>
      <c r="AT46" s="579"/>
      <c r="AU46" s="580"/>
    </row>
    <row r="47" spans="1:47" ht="49.95" customHeight="1">
      <c r="C47" s="758" t="s">
        <v>195</v>
      </c>
      <c r="D47" s="541"/>
      <c r="E47" s="541"/>
      <c r="F47" s="541"/>
      <c r="G47" s="542" t="s">
        <v>139</v>
      </c>
      <c r="H47" s="543">
        <v>114127.59</v>
      </c>
      <c r="I47" s="544">
        <v>4509</v>
      </c>
      <c r="J47" s="545">
        <v>25.311064537591484</v>
      </c>
      <c r="K47" s="546">
        <v>3261</v>
      </c>
      <c r="L47" s="547">
        <v>0.2767797737857618</v>
      </c>
      <c r="M47" s="544">
        <v>3060</v>
      </c>
      <c r="N47" s="548">
        <v>6.1637534498620056E-2</v>
      </c>
      <c r="O47" s="549">
        <v>37.296598039215688</v>
      </c>
      <c r="P47" s="544">
        <v>596</v>
      </c>
      <c r="Q47" s="548">
        <v>0.18276602269242564</v>
      </c>
      <c r="R47" s="550">
        <v>191.48924496644295</v>
      </c>
      <c r="S47" s="545">
        <v>67472.179999999993</v>
      </c>
      <c r="T47" s="544">
        <v>3371</v>
      </c>
      <c r="U47" s="627">
        <v>20.015479086324532</v>
      </c>
      <c r="V47" s="546">
        <v>2153</v>
      </c>
      <c r="W47" s="547">
        <v>0.36131711658261645</v>
      </c>
      <c r="X47" s="544">
        <v>1992</v>
      </c>
      <c r="Y47" s="548">
        <v>7.4779377612633535E-2</v>
      </c>
      <c r="Z47" s="628">
        <v>33.871576305220877</v>
      </c>
      <c r="AA47" s="629">
        <v>178</v>
      </c>
      <c r="AB47" s="548">
        <v>8.267533673943335E-2</v>
      </c>
      <c r="AC47" s="551">
        <v>379.05719101123594</v>
      </c>
      <c r="AD47" s="552">
        <v>46655.409999999996</v>
      </c>
      <c r="AE47" s="553">
        <v>1138</v>
      </c>
      <c r="AF47" s="549">
        <v>40.997724077328641</v>
      </c>
      <c r="AG47" s="546">
        <v>1108</v>
      </c>
      <c r="AH47" s="547">
        <v>2.6362038664323375E-2</v>
      </c>
      <c r="AI47" s="553">
        <v>1068</v>
      </c>
      <c r="AJ47" s="548">
        <v>3.6101083032490974E-2</v>
      </c>
      <c r="AK47" s="549">
        <v>43.684840823970035</v>
      </c>
      <c r="AL47" s="554">
        <v>418</v>
      </c>
      <c r="AM47" s="548">
        <v>0.37725631768953066</v>
      </c>
      <c r="AN47" s="551">
        <v>111.61581339712917</v>
      </c>
      <c r="AO47" s="630">
        <v>0.86619999999999997</v>
      </c>
      <c r="AP47" s="555">
        <v>0.67349999999999999</v>
      </c>
      <c r="AQ47" s="631">
        <v>0.69130000000000003</v>
      </c>
      <c r="AR47" s="632">
        <v>0.68240000000000001</v>
      </c>
      <c r="AS47" s="633">
        <v>2.25</v>
      </c>
      <c r="AT47" s="583"/>
      <c r="AU47" s="580"/>
    </row>
    <row r="48" spans="1:47" ht="21" hidden="1" customHeight="1">
      <c r="A48" t="s">
        <v>314</v>
      </c>
      <c r="B48" t="s">
        <v>268</v>
      </c>
      <c r="C48" s="759"/>
      <c r="D48" s="561" t="s">
        <v>40</v>
      </c>
      <c r="E48" s="561" t="s">
        <v>142</v>
      </c>
      <c r="F48" s="561" t="s">
        <v>44</v>
      </c>
      <c r="G48" s="562" t="s">
        <v>42</v>
      </c>
      <c r="H48" s="563">
        <v>4310.51</v>
      </c>
      <c r="I48" s="564">
        <v>137</v>
      </c>
      <c r="J48" s="565">
        <v>31.463576642335767</v>
      </c>
      <c r="K48" s="566">
        <v>135</v>
      </c>
      <c r="L48" s="567">
        <v>1.4598540145985401E-2</v>
      </c>
      <c r="M48" s="564">
        <v>127</v>
      </c>
      <c r="N48" s="568">
        <v>5.9259259259259262E-2</v>
      </c>
      <c r="O48" s="565">
        <v>33.941023622047247</v>
      </c>
      <c r="P48" s="564">
        <v>60</v>
      </c>
      <c r="Q48" s="569">
        <v>0.44444444444444442</v>
      </c>
      <c r="R48" s="570">
        <v>71.841833333333341</v>
      </c>
      <c r="S48" s="565" t="s">
        <v>123</v>
      </c>
      <c r="T48" s="564" t="s">
        <v>123</v>
      </c>
      <c r="U48" s="634" t="s">
        <v>123</v>
      </c>
      <c r="V48" s="566" t="s">
        <v>123</v>
      </c>
      <c r="W48" s="567" t="s">
        <v>123</v>
      </c>
      <c r="X48" s="564" t="s">
        <v>123</v>
      </c>
      <c r="Y48" s="568" t="s">
        <v>123</v>
      </c>
      <c r="Z48" s="634" t="s">
        <v>123</v>
      </c>
      <c r="AA48" s="591" t="s">
        <v>123</v>
      </c>
      <c r="AB48" s="569" t="s">
        <v>123</v>
      </c>
      <c r="AC48" s="571" t="s">
        <v>123</v>
      </c>
      <c r="AD48" s="572">
        <v>4310.51</v>
      </c>
      <c r="AE48" s="573">
        <v>137</v>
      </c>
      <c r="AF48" s="565">
        <v>31.463576642335767</v>
      </c>
      <c r="AG48" s="566">
        <v>135</v>
      </c>
      <c r="AH48" s="567">
        <v>1.4598540145985401E-2</v>
      </c>
      <c r="AI48" s="564">
        <v>127</v>
      </c>
      <c r="AJ48" s="568">
        <v>5.9259259259259262E-2</v>
      </c>
      <c r="AK48" s="565">
        <v>33.941023622047247</v>
      </c>
      <c r="AL48" s="574">
        <v>60</v>
      </c>
      <c r="AM48" s="569">
        <v>0.44444444444444442</v>
      </c>
      <c r="AN48" s="571">
        <v>71.841833333333341</v>
      </c>
      <c r="AO48" s="635"/>
      <c r="AP48" s="575"/>
      <c r="AQ48" s="636"/>
      <c r="AR48" s="637"/>
      <c r="AS48" s="633">
        <v>2.25</v>
      </c>
      <c r="AT48" s="579"/>
      <c r="AU48" s="580"/>
    </row>
    <row r="49" spans="1:47" ht="21" hidden="1" customHeight="1">
      <c r="A49" t="s">
        <v>315</v>
      </c>
      <c r="B49" t="s">
        <v>270</v>
      </c>
      <c r="C49" s="759"/>
      <c r="D49" s="561" t="s">
        <v>52</v>
      </c>
      <c r="E49" s="561" t="s">
        <v>145</v>
      </c>
      <c r="F49" s="561" t="s">
        <v>44</v>
      </c>
      <c r="G49" s="562" t="s">
        <v>42</v>
      </c>
      <c r="H49" s="563">
        <v>18800.759999999998</v>
      </c>
      <c r="I49" s="564">
        <v>391</v>
      </c>
      <c r="J49" s="565">
        <v>48.083785166240403</v>
      </c>
      <c r="K49" s="566">
        <v>383</v>
      </c>
      <c r="L49" s="567">
        <v>2.0460358056265986E-2</v>
      </c>
      <c r="M49" s="564">
        <v>366</v>
      </c>
      <c r="N49" s="568">
        <v>4.4386422976501305E-2</v>
      </c>
      <c r="O49" s="565">
        <v>51.36819672131147</v>
      </c>
      <c r="P49" s="564">
        <v>133</v>
      </c>
      <c r="Q49" s="569">
        <v>0.3472584856396867</v>
      </c>
      <c r="R49" s="570">
        <v>141.35909774436089</v>
      </c>
      <c r="S49" s="565" t="s">
        <v>123</v>
      </c>
      <c r="T49" s="564" t="s">
        <v>123</v>
      </c>
      <c r="U49" s="634" t="s">
        <v>123</v>
      </c>
      <c r="V49" s="566" t="s">
        <v>123</v>
      </c>
      <c r="W49" s="567" t="s">
        <v>123</v>
      </c>
      <c r="X49" s="564" t="s">
        <v>123</v>
      </c>
      <c r="Y49" s="568" t="s">
        <v>123</v>
      </c>
      <c r="Z49" s="634" t="s">
        <v>123</v>
      </c>
      <c r="AA49" s="591" t="s">
        <v>123</v>
      </c>
      <c r="AB49" s="569" t="s">
        <v>123</v>
      </c>
      <c r="AC49" s="571" t="s">
        <v>123</v>
      </c>
      <c r="AD49" s="572">
        <v>18800.759999999998</v>
      </c>
      <c r="AE49" s="573">
        <v>391</v>
      </c>
      <c r="AF49" s="565">
        <v>48.083785166240403</v>
      </c>
      <c r="AG49" s="566">
        <v>383</v>
      </c>
      <c r="AH49" s="567">
        <v>2.0460358056265986E-2</v>
      </c>
      <c r="AI49" s="564">
        <v>366</v>
      </c>
      <c r="AJ49" s="568">
        <v>4.4386422976501305E-2</v>
      </c>
      <c r="AK49" s="565">
        <v>51.36819672131147</v>
      </c>
      <c r="AL49" s="574">
        <v>133</v>
      </c>
      <c r="AM49" s="569">
        <v>0.3472584856396867</v>
      </c>
      <c r="AN49" s="571">
        <v>141.35909774436089</v>
      </c>
      <c r="AO49" s="635"/>
      <c r="AP49" s="575"/>
      <c r="AQ49" s="636"/>
      <c r="AR49" s="637"/>
      <c r="AS49" s="633">
        <v>2.25</v>
      </c>
      <c r="AT49" s="579"/>
      <c r="AU49" s="580"/>
    </row>
    <row r="50" spans="1:47" ht="21" hidden="1" customHeight="1">
      <c r="A50" t="s">
        <v>316</v>
      </c>
      <c r="B50" t="s">
        <v>272</v>
      </c>
      <c r="C50" s="759"/>
      <c r="D50" s="561" t="s">
        <v>40</v>
      </c>
      <c r="E50" s="561" t="s">
        <v>57</v>
      </c>
      <c r="F50" s="561" t="s">
        <v>57</v>
      </c>
      <c r="G50" s="562" t="s">
        <v>42</v>
      </c>
      <c r="H50" s="563">
        <v>23201.119999999999</v>
      </c>
      <c r="I50" s="564">
        <v>1983</v>
      </c>
      <c r="J50" s="565">
        <v>11.700010085728694</v>
      </c>
      <c r="K50" s="566">
        <v>1353</v>
      </c>
      <c r="L50" s="567">
        <v>0.31770045385779122</v>
      </c>
      <c r="M50" s="564">
        <v>1248</v>
      </c>
      <c r="N50" s="568">
        <v>7.7605321507760533E-2</v>
      </c>
      <c r="O50" s="565">
        <v>18.590641025641023</v>
      </c>
      <c r="P50" s="564">
        <v>22</v>
      </c>
      <c r="Q50" s="569">
        <v>1.6260162601626018E-2</v>
      </c>
      <c r="R50" s="570">
        <v>1054.5963636363635</v>
      </c>
      <c r="S50" s="565">
        <v>23201.119999999999</v>
      </c>
      <c r="T50" s="564">
        <v>1983</v>
      </c>
      <c r="U50" s="634">
        <v>11.700010085728694</v>
      </c>
      <c r="V50" s="566">
        <v>1353</v>
      </c>
      <c r="W50" s="567">
        <v>0.31770045385779122</v>
      </c>
      <c r="X50" s="564">
        <v>1248</v>
      </c>
      <c r="Y50" s="568">
        <v>7.7605321507760533E-2</v>
      </c>
      <c r="Z50" s="634">
        <v>18.590641025641023</v>
      </c>
      <c r="AA50" s="591">
        <v>22</v>
      </c>
      <c r="AB50" s="569">
        <v>1.6260162601626018E-2</v>
      </c>
      <c r="AC50" s="571">
        <v>1054.5963636363635</v>
      </c>
      <c r="AD50" s="572" t="s">
        <v>123</v>
      </c>
      <c r="AE50" s="573" t="s">
        <v>123</v>
      </c>
      <c r="AF50" s="565" t="s">
        <v>123</v>
      </c>
      <c r="AG50" s="566" t="s">
        <v>123</v>
      </c>
      <c r="AH50" s="567" t="s">
        <v>123</v>
      </c>
      <c r="AI50" s="564" t="s">
        <v>123</v>
      </c>
      <c r="AJ50" s="568" t="s">
        <v>123</v>
      </c>
      <c r="AK50" s="565" t="s">
        <v>123</v>
      </c>
      <c r="AL50" s="574" t="s">
        <v>123</v>
      </c>
      <c r="AM50" s="569" t="s">
        <v>123</v>
      </c>
      <c r="AN50" s="571" t="s">
        <v>123</v>
      </c>
      <c r="AO50" s="635"/>
      <c r="AP50" s="575"/>
      <c r="AQ50" s="636"/>
      <c r="AR50" s="637"/>
      <c r="AS50" s="633">
        <v>2.25</v>
      </c>
      <c r="AT50" s="579"/>
      <c r="AU50" s="580"/>
    </row>
    <row r="51" spans="1:47" ht="21" hidden="1" customHeight="1">
      <c r="A51" t="s">
        <v>317</v>
      </c>
      <c r="B51" t="s">
        <v>274</v>
      </c>
      <c r="C51" s="759"/>
      <c r="D51" s="561" t="s">
        <v>52</v>
      </c>
      <c r="E51" s="561" t="s">
        <v>121</v>
      </c>
      <c r="F51" s="561" t="s">
        <v>44</v>
      </c>
      <c r="G51" s="562" t="s">
        <v>42</v>
      </c>
      <c r="H51" s="563">
        <v>607.37</v>
      </c>
      <c r="I51" s="564">
        <v>5</v>
      </c>
      <c r="J51" s="565">
        <v>121.474</v>
      </c>
      <c r="K51" s="566">
        <v>10</v>
      </c>
      <c r="L51" s="567">
        <v>-1</v>
      </c>
      <c r="M51" s="564">
        <v>9</v>
      </c>
      <c r="N51" s="568">
        <v>0.1</v>
      </c>
      <c r="O51" s="565">
        <v>67.48555555555555</v>
      </c>
      <c r="P51" s="564">
        <v>2</v>
      </c>
      <c r="Q51" s="569">
        <v>0.2</v>
      </c>
      <c r="R51" s="570">
        <v>303.685</v>
      </c>
      <c r="S51" s="565" t="s">
        <v>123</v>
      </c>
      <c r="T51" s="564" t="s">
        <v>123</v>
      </c>
      <c r="U51" s="634" t="s">
        <v>123</v>
      </c>
      <c r="V51" s="566" t="s">
        <v>123</v>
      </c>
      <c r="W51" s="567" t="s">
        <v>123</v>
      </c>
      <c r="X51" s="564" t="s">
        <v>123</v>
      </c>
      <c r="Y51" s="568" t="s">
        <v>123</v>
      </c>
      <c r="Z51" s="634" t="s">
        <v>123</v>
      </c>
      <c r="AA51" s="591" t="s">
        <v>123</v>
      </c>
      <c r="AB51" s="569" t="s">
        <v>123</v>
      </c>
      <c r="AC51" s="571" t="s">
        <v>123</v>
      </c>
      <c r="AD51" s="572">
        <v>607.37</v>
      </c>
      <c r="AE51" s="573">
        <v>5</v>
      </c>
      <c r="AF51" s="565">
        <v>121.474</v>
      </c>
      <c r="AG51" s="566">
        <v>10</v>
      </c>
      <c r="AH51" s="567">
        <v>-1</v>
      </c>
      <c r="AI51" s="564">
        <v>9</v>
      </c>
      <c r="AJ51" s="568">
        <v>0.1</v>
      </c>
      <c r="AK51" s="565">
        <v>67.48555555555555</v>
      </c>
      <c r="AL51" s="574">
        <v>2</v>
      </c>
      <c r="AM51" s="569">
        <v>0.2</v>
      </c>
      <c r="AN51" s="571">
        <v>303.685</v>
      </c>
      <c r="AO51" s="635"/>
      <c r="AP51" s="575"/>
      <c r="AQ51" s="636"/>
      <c r="AR51" s="637"/>
      <c r="AS51" s="633">
        <v>2.25</v>
      </c>
      <c r="AT51" s="579"/>
      <c r="AU51" s="580"/>
    </row>
    <row r="52" spans="1:47" ht="21" hidden="1" customHeight="1">
      <c r="A52" t="s">
        <v>318</v>
      </c>
      <c r="B52" t="s">
        <v>276</v>
      </c>
      <c r="C52" s="759"/>
      <c r="D52" s="561" t="s">
        <v>40</v>
      </c>
      <c r="E52" s="561" t="s">
        <v>142</v>
      </c>
      <c r="F52" s="561" t="s">
        <v>44</v>
      </c>
      <c r="G52" s="562" t="s">
        <v>60</v>
      </c>
      <c r="H52" s="563">
        <v>2428.52</v>
      </c>
      <c r="I52" s="564">
        <v>118</v>
      </c>
      <c r="J52" s="565">
        <v>20.580677966101696</v>
      </c>
      <c r="K52" s="566">
        <v>121</v>
      </c>
      <c r="L52" s="567">
        <v>-2.5423728813559324E-2</v>
      </c>
      <c r="M52" s="564">
        <v>118</v>
      </c>
      <c r="N52" s="568">
        <v>2.4793388429752067E-2</v>
      </c>
      <c r="O52" s="565">
        <v>20.580677966101696</v>
      </c>
      <c r="P52" s="564">
        <v>46</v>
      </c>
      <c r="Q52" s="569">
        <v>0.38016528925619836</v>
      </c>
      <c r="R52" s="570">
        <v>52.793913043478263</v>
      </c>
      <c r="S52" s="565" t="s">
        <v>123</v>
      </c>
      <c r="T52" s="564" t="s">
        <v>123</v>
      </c>
      <c r="U52" s="634" t="s">
        <v>123</v>
      </c>
      <c r="V52" s="566" t="s">
        <v>123</v>
      </c>
      <c r="W52" s="567" t="s">
        <v>123</v>
      </c>
      <c r="X52" s="564" t="s">
        <v>123</v>
      </c>
      <c r="Y52" s="568" t="s">
        <v>123</v>
      </c>
      <c r="Z52" s="634" t="s">
        <v>123</v>
      </c>
      <c r="AA52" s="591" t="s">
        <v>123</v>
      </c>
      <c r="AB52" s="569" t="s">
        <v>123</v>
      </c>
      <c r="AC52" s="571" t="s">
        <v>123</v>
      </c>
      <c r="AD52" s="572">
        <v>2428.52</v>
      </c>
      <c r="AE52" s="573">
        <v>118</v>
      </c>
      <c r="AF52" s="565">
        <v>20.580677966101696</v>
      </c>
      <c r="AG52" s="566">
        <v>121</v>
      </c>
      <c r="AH52" s="567">
        <v>-2.5423728813559324E-2</v>
      </c>
      <c r="AI52" s="564">
        <v>118</v>
      </c>
      <c r="AJ52" s="568">
        <v>2.4793388429752067E-2</v>
      </c>
      <c r="AK52" s="565">
        <v>20.580677966101696</v>
      </c>
      <c r="AL52" s="574">
        <v>46</v>
      </c>
      <c r="AM52" s="569">
        <v>0.38016528925619836</v>
      </c>
      <c r="AN52" s="571">
        <v>52.793913043478263</v>
      </c>
      <c r="AO52" s="635"/>
      <c r="AP52" s="575"/>
      <c r="AQ52" s="636"/>
      <c r="AR52" s="637"/>
      <c r="AS52" s="633">
        <v>2.25</v>
      </c>
      <c r="AT52" s="579"/>
      <c r="AU52" s="580"/>
    </row>
    <row r="53" spans="1:47" ht="21" hidden="1" customHeight="1">
      <c r="A53" t="s">
        <v>319</v>
      </c>
      <c r="B53" t="s">
        <v>278</v>
      </c>
      <c r="C53" s="759"/>
      <c r="D53" s="561" t="s">
        <v>52</v>
      </c>
      <c r="E53" s="561" t="s">
        <v>145</v>
      </c>
      <c r="F53" s="561" t="s">
        <v>44</v>
      </c>
      <c r="G53" s="562" t="s">
        <v>60</v>
      </c>
      <c r="H53" s="563">
        <v>20508.25</v>
      </c>
      <c r="I53" s="564">
        <v>487</v>
      </c>
      <c r="J53" s="565">
        <v>42.111396303901437</v>
      </c>
      <c r="K53" s="566">
        <v>459</v>
      </c>
      <c r="L53" s="567">
        <v>5.7494866529774126E-2</v>
      </c>
      <c r="M53" s="564">
        <v>448</v>
      </c>
      <c r="N53" s="568">
        <v>2.3965141612200435E-2</v>
      </c>
      <c r="O53" s="565">
        <v>45.77734375</v>
      </c>
      <c r="P53" s="564">
        <v>177</v>
      </c>
      <c r="Q53" s="569">
        <v>0.38562091503267976</v>
      </c>
      <c r="R53" s="570">
        <v>115.86581920903954</v>
      </c>
      <c r="S53" s="565" t="s">
        <v>123</v>
      </c>
      <c r="T53" s="564" t="s">
        <v>123</v>
      </c>
      <c r="U53" s="634" t="s">
        <v>123</v>
      </c>
      <c r="V53" s="566" t="s">
        <v>123</v>
      </c>
      <c r="W53" s="567" t="s">
        <v>123</v>
      </c>
      <c r="X53" s="564" t="s">
        <v>123</v>
      </c>
      <c r="Y53" s="568" t="s">
        <v>123</v>
      </c>
      <c r="Z53" s="634" t="s">
        <v>123</v>
      </c>
      <c r="AA53" s="591" t="s">
        <v>123</v>
      </c>
      <c r="AB53" s="569" t="s">
        <v>123</v>
      </c>
      <c r="AC53" s="571" t="s">
        <v>123</v>
      </c>
      <c r="AD53" s="572">
        <v>20508.25</v>
      </c>
      <c r="AE53" s="573">
        <v>487</v>
      </c>
      <c r="AF53" s="565">
        <v>42.111396303901437</v>
      </c>
      <c r="AG53" s="566">
        <v>459</v>
      </c>
      <c r="AH53" s="567">
        <v>5.7494866529774126E-2</v>
      </c>
      <c r="AI53" s="564">
        <v>448</v>
      </c>
      <c r="AJ53" s="568">
        <v>2.3965141612200435E-2</v>
      </c>
      <c r="AK53" s="565">
        <v>45.77734375</v>
      </c>
      <c r="AL53" s="574">
        <v>177</v>
      </c>
      <c r="AM53" s="569">
        <v>0.38562091503267976</v>
      </c>
      <c r="AN53" s="571">
        <v>115.86581920903954</v>
      </c>
      <c r="AO53" s="635"/>
      <c r="AP53" s="575"/>
      <c r="AQ53" s="636"/>
      <c r="AR53" s="637"/>
      <c r="AS53" s="633">
        <v>2.25</v>
      </c>
      <c r="AT53" s="579"/>
      <c r="AU53" s="580"/>
    </row>
    <row r="54" spans="1:47" ht="21" hidden="1" customHeight="1">
      <c r="A54" t="s">
        <v>320</v>
      </c>
      <c r="B54" t="s">
        <v>280</v>
      </c>
      <c r="C54" s="760"/>
      <c r="D54" s="584" t="s">
        <v>40</v>
      </c>
      <c r="E54" s="584" t="s">
        <v>57</v>
      </c>
      <c r="F54" s="584" t="s">
        <v>57</v>
      </c>
      <c r="G54" s="585" t="s">
        <v>60</v>
      </c>
      <c r="H54" s="563">
        <v>44271.06</v>
      </c>
      <c r="I54" s="581">
        <v>1388</v>
      </c>
      <c r="J54" s="582">
        <v>31.895576368876078</v>
      </c>
      <c r="K54" s="566">
        <v>800</v>
      </c>
      <c r="L54" s="567">
        <v>0.42363112391930835</v>
      </c>
      <c r="M54" s="564">
        <v>744</v>
      </c>
      <c r="N54" s="568">
        <v>7.0000000000000007E-2</v>
      </c>
      <c r="O54" s="586">
        <v>59.504112903225803</v>
      </c>
      <c r="P54" s="564">
        <v>156</v>
      </c>
      <c r="Q54" s="569">
        <v>0.19500000000000001</v>
      </c>
      <c r="R54" s="570">
        <v>283.78884615384612</v>
      </c>
      <c r="S54" s="565">
        <v>44271.06</v>
      </c>
      <c r="T54" s="564">
        <v>1388</v>
      </c>
      <c r="U54" s="639">
        <v>31.895576368876078</v>
      </c>
      <c r="V54" s="566">
        <v>800</v>
      </c>
      <c r="W54" s="567">
        <v>0.42363112391930835</v>
      </c>
      <c r="X54" s="564">
        <v>744</v>
      </c>
      <c r="Y54" s="568">
        <v>7.0000000000000007E-2</v>
      </c>
      <c r="Z54" s="640">
        <v>59.504112903225803</v>
      </c>
      <c r="AA54" s="591">
        <v>156</v>
      </c>
      <c r="AB54" s="569">
        <v>0.19500000000000001</v>
      </c>
      <c r="AC54" s="571">
        <v>283.78884615384612</v>
      </c>
      <c r="AD54" s="572" t="s">
        <v>123</v>
      </c>
      <c r="AE54" s="573" t="s">
        <v>123</v>
      </c>
      <c r="AF54" s="565" t="s">
        <v>123</v>
      </c>
      <c r="AG54" s="566" t="s">
        <v>123</v>
      </c>
      <c r="AH54" s="567" t="s">
        <v>123</v>
      </c>
      <c r="AI54" s="564" t="s">
        <v>123</v>
      </c>
      <c r="AJ54" s="568" t="s">
        <v>123</v>
      </c>
      <c r="AK54" s="586" t="s">
        <v>123</v>
      </c>
      <c r="AL54" s="574" t="s">
        <v>123</v>
      </c>
      <c r="AM54" s="569" t="s">
        <v>123</v>
      </c>
      <c r="AN54" s="571" t="s">
        <v>123</v>
      </c>
      <c r="AO54" s="635"/>
      <c r="AP54" s="587"/>
      <c r="AQ54" s="636"/>
      <c r="AR54" s="641"/>
      <c r="AS54" s="633">
        <v>2.25</v>
      </c>
      <c r="AT54" s="579"/>
      <c r="AU54" s="580"/>
    </row>
    <row r="55" spans="1:47" ht="49.95" customHeight="1">
      <c r="C55" s="758" t="s">
        <v>203</v>
      </c>
      <c r="D55" s="541"/>
      <c r="E55" s="541"/>
      <c r="F55" s="541"/>
      <c r="G55" s="542" t="s">
        <v>139</v>
      </c>
      <c r="H55" s="543">
        <v>104252.48000000001</v>
      </c>
      <c r="I55" s="544">
        <v>4242</v>
      </c>
      <c r="J55" s="545">
        <v>24.576256482791138</v>
      </c>
      <c r="K55" s="546">
        <v>2671</v>
      </c>
      <c r="L55" s="547">
        <v>0.37034417727487035</v>
      </c>
      <c r="M55" s="544">
        <v>2101</v>
      </c>
      <c r="N55" s="548">
        <v>0.21340321976787721</v>
      </c>
      <c r="O55" s="549">
        <v>49.620409328891007</v>
      </c>
      <c r="P55" s="544">
        <v>518</v>
      </c>
      <c r="Q55" s="548">
        <v>0.19393485585922876</v>
      </c>
      <c r="R55" s="550">
        <v>201.25961389961392</v>
      </c>
      <c r="S55" s="545">
        <v>60133.520000000004</v>
      </c>
      <c r="T55" s="544">
        <v>3120</v>
      </c>
      <c r="U55" s="627">
        <v>19.273564102564105</v>
      </c>
      <c r="V55" s="546">
        <v>1592</v>
      </c>
      <c r="W55" s="547">
        <v>0.48974358974358972</v>
      </c>
      <c r="X55" s="544">
        <v>1157</v>
      </c>
      <c r="Y55" s="548">
        <v>0.27324120603015073</v>
      </c>
      <c r="Z55" s="628">
        <v>51.973656006914439</v>
      </c>
      <c r="AA55" s="629">
        <v>146</v>
      </c>
      <c r="AB55" s="548">
        <v>9.1708542713567834E-2</v>
      </c>
      <c r="AC55" s="551">
        <v>411.87342465753426</v>
      </c>
      <c r="AD55" s="552">
        <v>44118.96</v>
      </c>
      <c r="AE55" s="553">
        <v>1122</v>
      </c>
      <c r="AF55" s="549">
        <v>39.321711229946523</v>
      </c>
      <c r="AG55" s="546">
        <v>1079</v>
      </c>
      <c r="AH55" s="547">
        <v>3.8324420677361852E-2</v>
      </c>
      <c r="AI55" s="553">
        <v>944</v>
      </c>
      <c r="AJ55" s="548">
        <v>0.12511584800741427</v>
      </c>
      <c r="AK55" s="549">
        <v>46.736186440677962</v>
      </c>
      <c r="AL55" s="554">
        <v>372</v>
      </c>
      <c r="AM55" s="548">
        <v>0.34476367006487491</v>
      </c>
      <c r="AN55" s="551">
        <v>118.59935483870967</v>
      </c>
      <c r="AO55" s="630">
        <v>0.86570000000000003</v>
      </c>
      <c r="AP55" s="555">
        <v>0.76639999999999997</v>
      </c>
      <c r="AQ55" s="631">
        <v>0.78410000000000002</v>
      </c>
      <c r="AR55" s="632">
        <v>0.78859999999999997</v>
      </c>
      <c r="AS55" s="633">
        <v>1.92</v>
      </c>
      <c r="AT55" s="583"/>
      <c r="AU55" s="580"/>
    </row>
    <row r="56" spans="1:47" ht="21" hidden="1" customHeight="1">
      <c r="A56" t="s">
        <v>321</v>
      </c>
      <c r="B56" t="s">
        <v>268</v>
      </c>
      <c r="C56" s="759"/>
      <c r="D56" s="561" t="s">
        <v>40</v>
      </c>
      <c r="E56" s="561" t="s">
        <v>142</v>
      </c>
      <c r="F56" s="561" t="s">
        <v>44</v>
      </c>
      <c r="G56" s="562" t="s">
        <v>42</v>
      </c>
      <c r="H56" s="563">
        <v>4364.8500000000004</v>
      </c>
      <c r="I56" s="564">
        <v>141</v>
      </c>
      <c r="J56" s="565">
        <v>30.956382978723408</v>
      </c>
      <c r="K56" s="566">
        <v>138</v>
      </c>
      <c r="L56" s="567">
        <v>2.1276595744680851E-2</v>
      </c>
      <c r="M56" s="564">
        <v>124</v>
      </c>
      <c r="N56" s="568">
        <v>0.10144927536231885</v>
      </c>
      <c r="O56" s="565">
        <v>35.200403225806454</v>
      </c>
      <c r="P56" s="564">
        <v>60</v>
      </c>
      <c r="Q56" s="569">
        <v>0.43478260869565216</v>
      </c>
      <c r="R56" s="570">
        <v>72.747500000000002</v>
      </c>
      <c r="S56" s="565" t="s">
        <v>123</v>
      </c>
      <c r="T56" s="564" t="s">
        <v>123</v>
      </c>
      <c r="U56" s="634" t="s">
        <v>123</v>
      </c>
      <c r="V56" s="566" t="s">
        <v>123</v>
      </c>
      <c r="W56" s="567" t="s">
        <v>123</v>
      </c>
      <c r="X56" s="564" t="s">
        <v>123</v>
      </c>
      <c r="Y56" s="568" t="s">
        <v>123</v>
      </c>
      <c r="Z56" s="634" t="s">
        <v>123</v>
      </c>
      <c r="AA56" s="591" t="s">
        <v>123</v>
      </c>
      <c r="AB56" s="569" t="s">
        <v>123</v>
      </c>
      <c r="AC56" s="571" t="s">
        <v>123</v>
      </c>
      <c r="AD56" s="572">
        <v>4364.8500000000004</v>
      </c>
      <c r="AE56" s="573">
        <v>141</v>
      </c>
      <c r="AF56" s="565">
        <v>30.956382978723408</v>
      </c>
      <c r="AG56" s="566">
        <v>138</v>
      </c>
      <c r="AH56" s="567">
        <v>2.1276595744680851E-2</v>
      </c>
      <c r="AI56" s="564">
        <v>124</v>
      </c>
      <c r="AJ56" s="568">
        <v>0.10144927536231885</v>
      </c>
      <c r="AK56" s="565">
        <v>35.200403225806454</v>
      </c>
      <c r="AL56" s="574">
        <v>60</v>
      </c>
      <c r="AM56" s="569">
        <v>0.43478260869565216</v>
      </c>
      <c r="AN56" s="571">
        <v>72.747500000000002</v>
      </c>
      <c r="AO56" s="635"/>
      <c r="AP56" s="575"/>
      <c r="AQ56" s="636"/>
      <c r="AR56" s="637"/>
      <c r="AS56" s="633">
        <v>1.92</v>
      </c>
      <c r="AT56" s="579"/>
      <c r="AU56" s="580"/>
    </row>
    <row r="57" spans="1:47" ht="21" hidden="1" customHeight="1">
      <c r="A57" t="s">
        <v>322</v>
      </c>
      <c r="B57" t="s">
        <v>270</v>
      </c>
      <c r="C57" s="759"/>
      <c r="D57" s="561" t="s">
        <v>52</v>
      </c>
      <c r="E57" s="561" t="s">
        <v>145</v>
      </c>
      <c r="F57" s="561" t="s">
        <v>44</v>
      </c>
      <c r="G57" s="562" t="s">
        <v>42</v>
      </c>
      <c r="H57" s="563">
        <v>22510.5</v>
      </c>
      <c r="I57" s="564">
        <v>480</v>
      </c>
      <c r="J57" s="565">
        <v>46.896875000000001</v>
      </c>
      <c r="K57" s="566">
        <v>445</v>
      </c>
      <c r="L57" s="567">
        <v>7.2916666666666671E-2</v>
      </c>
      <c r="M57" s="564">
        <v>372</v>
      </c>
      <c r="N57" s="568">
        <v>0.16404494382022472</v>
      </c>
      <c r="O57" s="565">
        <v>60.512096774193552</v>
      </c>
      <c r="P57" s="564">
        <v>134</v>
      </c>
      <c r="Q57" s="569">
        <v>0.30112359550561796</v>
      </c>
      <c r="R57" s="570">
        <v>167.98880597014926</v>
      </c>
      <c r="S57" s="565" t="s">
        <v>123</v>
      </c>
      <c r="T57" s="564" t="s">
        <v>123</v>
      </c>
      <c r="U57" s="634" t="s">
        <v>123</v>
      </c>
      <c r="V57" s="566" t="s">
        <v>123</v>
      </c>
      <c r="W57" s="567" t="s">
        <v>123</v>
      </c>
      <c r="X57" s="564" t="s">
        <v>123</v>
      </c>
      <c r="Y57" s="568" t="s">
        <v>123</v>
      </c>
      <c r="Z57" s="634" t="s">
        <v>123</v>
      </c>
      <c r="AA57" s="591" t="s">
        <v>123</v>
      </c>
      <c r="AB57" s="569" t="s">
        <v>123</v>
      </c>
      <c r="AC57" s="571" t="s">
        <v>123</v>
      </c>
      <c r="AD57" s="572">
        <v>22510.5</v>
      </c>
      <c r="AE57" s="573">
        <v>480</v>
      </c>
      <c r="AF57" s="565">
        <v>46.896875000000001</v>
      </c>
      <c r="AG57" s="566">
        <v>445</v>
      </c>
      <c r="AH57" s="567">
        <v>7.2916666666666671E-2</v>
      </c>
      <c r="AI57" s="564">
        <v>372</v>
      </c>
      <c r="AJ57" s="568">
        <v>0.16404494382022472</v>
      </c>
      <c r="AK57" s="565">
        <v>60.512096774193552</v>
      </c>
      <c r="AL57" s="574">
        <v>134</v>
      </c>
      <c r="AM57" s="569">
        <v>0.30112359550561796</v>
      </c>
      <c r="AN57" s="571">
        <v>167.98880597014926</v>
      </c>
      <c r="AO57" s="635"/>
      <c r="AP57" s="575"/>
      <c r="AQ57" s="636"/>
      <c r="AR57" s="637"/>
      <c r="AS57" s="633">
        <v>1.92</v>
      </c>
      <c r="AT57" s="579"/>
      <c r="AU57" s="580"/>
    </row>
    <row r="58" spans="1:47" ht="21" hidden="1" customHeight="1">
      <c r="A58" t="s">
        <v>323</v>
      </c>
      <c r="B58" t="s">
        <v>272</v>
      </c>
      <c r="C58" s="759"/>
      <c r="D58" s="561" t="s">
        <v>40</v>
      </c>
      <c r="E58" s="561" t="s">
        <v>57</v>
      </c>
      <c r="F58" s="561" t="s">
        <v>57</v>
      </c>
      <c r="G58" s="562" t="s">
        <v>42</v>
      </c>
      <c r="H58" s="563">
        <v>26867.58</v>
      </c>
      <c r="I58" s="564">
        <v>2294</v>
      </c>
      <c r="J58" s="565">
        <v>11.712109851787272</v>
      </c>
      <c r="K58" s="566">
        <v>1091</v>
      </c>
      <c r="L58" s="567">
        <v>0.52441150828247607</v>
      </c>
      <c r="M58" s="564">
        <v>755</v>
      </c>
      <c r="N58" s="568">
        <v>0.307974335472044</v>
      </c>
      <c r="O58" s="565">
        <v>35.586198675496689</v>
      </c>
      <c r="P58" s="564">
        <v>22</v>
      </c>
      <c r="Q58" s="569">
        <v>2.0164986251145739E-2</v>
      </c>
      <c r="R58" s="570">
        <v>1221.2536363636364</v>
      </c>
      <c r="S58" s="565">
        <v>26867.58</v>
      </c>
      <c r="T58" s="564">
        <v>2294</v>
      </c>
      <c r="U58" s="634">
        <v>11.712109851787272</v>
      </c>
      <c r="V58" s="566">
        <v>1091</v>
      </c>
      <c r="W58" s="567">
        <v>0.52441150828247607</v>
      </c>
      <c r="X58" s="564">
        <v>755</v>
      </c>
      <c r="Y58" s="568">
        <v>0.307974335472044</v>
      </c>
      <c r="Z58" s="634">
        <v>35.586198675496689</v>
      </c>
      <c r="AA58" s="591">
        <v>22</v>
      </c>
      <c r="AB58" s="569">
        <v>2.0164986251145739E-2</v>
      </c>
      <c r="AC58" s="571">
        <v>1221.2536363636364</v>
      </c>
      <c r="AD58" s="572" t="s">
        <v>123</v>
      </c>
      <c r="AE58" s="573" t="s">
        <v>123</v>
      </c>
      <c r="AF58" s="565" t="s">
        <v>123</v>
      </c>
      <c r="AG58" s="566" t="s">
        <v>123</v>
      </c>
      <c r="AH58" s="567" t="s">
        <v>123</v>
      </c>
      <c r="AI58" s="564" t="s">
        <v>123</v>
      </c>
      <c r="AJ58" s="568" t="s">
        <v>123</v>
      </c>
      <c r="AK58" s="565" t="s">
        <v>123</v>
      </c>
      <c r="AL58" s="574" t="s">
        <v>123</v>
      </c>
      <c r="AM58" s="569" t="s">
        <v>123</v>
      </c>
      <c r="AN58" s="571" t="s">
        <v>123</v>
      </c>
      <c r="AO58" s="635"/>
      <c r="AP58" s="575"/>
      <c r="AQ58" s="636"/>
      <c r="AR58" s="637"/>
      <c r="AS58" s="633">
        <v>1.92</v>
      </c>
      <c r="AT58" s="579"/>
      <c r="AU58" s="580"/>
    </row>
    <row r="59" spans="1:47" ht="21" hidden="1" customHeight="1">
      <c r="A59" t="s">
        <v>324</v>
      </c>
      <c r="B59" t="s">
        <v>274</v>
      </c>
      <c r="C59" s="759"/>
      <c r="D59" s="561" t="s">
        <v>52</v>
      </c>
      <c r="E59" s="561" t="s">
        <v>121</v>
      </c>
      <c r="F59" s="561" t="s">
        <v>44</v>
      </c>
      <c r="G59" s="562" t="s">
        <v>42</v>
      </c>
      <c r="H59" s="563">
        <v>0</v>
      </c>
      <c r="I59" s="564">
        <v>0</v>
      </c>
      <c r="J59" s="565" t="s">
        <v>123</v>
      </c>
      <c r="K59" s="566">
        <v>1</v>
      </c>
      <c r="L59" s="567" t="s">
        <v>123</v>
      </c>
      <c r="M59" s="564">
        <v>1</v>
      </c>
      <c r="N59" s="568">
        <v>0</v>
      </c>
      <c r="O59" s="565">
        <v>0</v>
      </c>
      <c r="P59" s="564">
        <v>0</v>
      </c>
      <c r="Q59" s="569">
        <v>0</v>
      </c>
      <c r="R59" s="570" t="s">
        <v>123</v>
      </c>
      <c r="S59" s="565" t="s">
        <v>123</v>
      </c>
      <c r="T59" s="564" t="s">
        <v>123</v>
      </c>
      <c r="U59" s="634" t="s">
        <v>123</v>
      </c>
      <c r="V59" s="566" t="s">
        <v>123</v>
      </c>
      <c r="W59" s="567" t="s">
        <v>123</v>
      </c>
      <c r="X59" s="564" t="s">
        <v>123</v>
      </c>
      <c r="Y59" s="568" t="s">
        <v>123</v>
      </c>
      <c r="Z59" s="634" t="s">
        <v>123</v>
      </c>
      <c r="AA59" s="591" t="s">
        <v>123</v>
      </c>
      <c r="AB59" s="569" t="s">
        <v>123</v>
      </c>
      <c r="AC59" s="571" t="s">
        <v>123</v>
      </c>
      <c r="AD59" s="572">
        <v>0</v>
      </c>
      <c r="AE59" s="573">
        <v>0</v>
      </c>
      <c r="AF59" s="565" t="s">
        <v>123</v>
      </c>
      <c r="AG59" s="566">
        <v>1</v>
      </c>
      <c r="AH59" s="567" t="s">
        <v>123</v>
      </c>
      <c r="AI59" s="564">
        <v>1</v>
      </c>
      <c r="AJ59" s="568">
        <v>0</v>
      </c>
      <c r="AK59" s="565">
        <v>0</v>
      </c>
      <c r="AL59" s="574">
        <v>0</v>
      </c>
      <c r="AM59" s="569">
        <v>0</v>
      </c>
      <c r="AN59" s="571" t="s">
        <v>123</v>
      </c>
      <c r="AO59" s="635"/>
      <c r="AP59" s="575"/>
      <c r="AQ59" s="636"/>
      <c r="AR59" s="637"/>
      <c r="AS59" s="633">
        <v>1.92</v>
      </c>
      <c r="AT59" s="579"/>
      <c r="AU59" s="580"/>
    </row>
    <row r="60" spans="1:47" ht="21" hidden="1" customHeight="1">
      <c r="A60" t="s">
        <v>325</v>
      </c>
      <c r="B60" t="s">
        <v>276</v>
      </c>
      <c r="C60" s="759"/>
      <c r="D60" s="561" t="s">
        <v>40</v>
      </c>
      <c r="E60" s="561" t="s">
        <v>142</v>
      </c>
      <c r="F60" s="561" t="s">
        <v>44</v>
      </c>
      <c r="G60" s="562" t="s">
        <v>60</v>
      </c>
      <c r="H60" s="563">
        <v>2740.15</v>
      </c>
      <c r="I60" s="564">
        <v>148</v>
      </c>
      <c r="J60" s="565">
        <v>18.514527027027029</v>
      </c>
      <c r="K60" s="566">
        <v>145</v>
      </c>
      <c r="L60" s="567">
        <v>2.0270270270270271E-2</v>
      </c>
      <c r="M60" s="564">
        <v>126</v>
      </c>
      <c r="N60" s="568">
        <v>0.1310344827586207</v>
      </c>
      <c r="O60" s="565">
        <v>21.747222222222224</v>
      </c>
      <c r="P60" s="564">
        <v>52</v>
      </c>
      <c r="Q60" s="569">
        <v>0.35862068965517241</v>
      </c>
      <c r="R60" s="570">
        <v>52.695192307692309</v>
      </c>
      <c r="S60" s="565" t="s">
        <v>123</v>
      </c>
      <c r="T60" s="564" t="s">
        <v>123</v>
      </c>
      <c r="U60" s="634" t="s">
        <v>123</v>
      </c>
      <c r="V60" s="566" t="s">
        <v>123</v>
      </c>
      <c r="W60" s="567" t="s">
        <v>123</v>
      </c>
      <c r="X60" s="564" t="s">
        <v>123</v>
      </c>
      <c r="Y60" s="568" t="s">
        <v>123</v>
      </c>
      <c r="Z60" s="634" t="s">
        <v>123</v>
      </c>
      <c r="AA60" s="591" t="s">
        <v>123</v>
      </c>
      <c r="AB60" s="569" t="s">
        <v>123</v>
      </c>
      <c r="AC60" s="571" t="s">
        <v>123</v>
      </c>
      <c r="AD60" s="572">
        <v>2740.15</v>
      </c>
      <c r="AE60" s="573">
        <v>148</v>
      </c>
      <c r="AF60" s="565">
        <v>18.514527027027029</v>
      </c>
      <c r="AG60" s="566">
        <v>145</v>
      </c>
      <c r="AH60" s="567">
        <v>2.0270270270270271E-2</v>
      </c>
      <c r="AI60" s="564">
        <v>126</v>
      </c>
      <c r="AJ60" s="568">
        <v>0.1310344827586207</v>
      </c>
      <c r="AK60" s="565">
        <v>21.747222222222224</v>
      </c>
      <c r="AL60" s="574">
        <v>52</v>
      </c>
      <c r="AM60" s="569">
        <v>0.35862068965517241</v>
      </c>
      <c r="AN60" s="571">
        <v>52.695192307692309</v>
      </c>
      <c r="AO60" s="635"/>
      <c r="AP60" s="575"/>
      <c r="AQ60" s="636"/>
      <c r="AR60" s="637"/>
      <c r="AS60" s="633">
        <v>1.92</v>
      </c>
      <c r="AT60" s="579"/>
      <c r="AU60" s="580"/>
    </row>
    <row r="61" spans="1:47" ht="21" hidden="1" customHeight="1">
      <c r="A61" t="s">
        <v>326</v>
      </c>
      <c r="B61" t="s">
        <v>278</v>
      </c>
      <c r="C61" s="759"/>
      <c r="D61" s="561" t="s">
        <v>52</v>
      </c>
      <c r="E61" s="561" t="s">
        <v>145</v>
      </c>
      <c r="F61" s="561" t="s">
        <v>44</v>
      </c>
      <c r="G61" s="562" t="s">
        <v>60</v>
      </c>
      <c r="H61" s="563">
        <v>14503.46</v>
      </c>
      <c r="I61" s="564">
        <v>353</v>
      </c>
      <c r="J61" s="565">
        <v>41.086288951841354</v>
      </c>
      <c r="K61" s="566">
        <v>350</v>
      </c>
      <c r="L61" s="567">
        <v>8.4985835694051E-3</v>
      </c>
      <c r="M61" s="564">
        <v>321</v>
      </c>
      <c r="N61" s="568">
        <v>8.2857142857142851E-2</v>
      </c>
      <c r="O61" s="565">
        <v>45.182118380062306</v>
      </c>
      <c r="P61" s="564">
        <v>126</v>
      </c>
      <c r="Q61" s="569">
        <v>0.36</v>
      </c>
      <c r="R61" s="570">
        <v>115.10682539682539</v>
      </c>
      <c r="S61" s="565" t="s">
        <v>123</v>
      </c>
      <c r="T61" s="564" t="s">
        <v>123</v>
      </c>
      <c r="U61" s="634" t="s">
        <v>123</v>
      </c>
      <c r="V61" s="566" t="s">
        <v>123</v>
      </c>
      <c r="W61" s="567" t="s">
        <v>123</v>
      </c>
      <c r="X61" s="564" t="s">
        <v>123</v>
      </c>
      <c r="Y61" s="568" t="s">
        <v>123</v>
      </c>
      <c r="Z61" s="634" t="s">
        <v>123</v>
      </c>
      <c r="AA61" s="591" t="s">
        <v>123</v>
      </c>
      <c r="AB61" s="569" t="s">
        <v>123</v>
      </c>
      <c r="AC61" s="571" t="s">
        <v>123</v>
      </c>
      <c r="AD61" s="572">
        <v>14503.46</v>
      </c>
      <c r="AE61" s="573">
        <v>353</v>
      </c>
      <c r="AF61" s="565">
        <v>41.086288951841354</v>
      </c>
      <c r="AG61" s="566">
        <v>350</v>
      </c>
      <c r="AH61" s="567">
        <v>8.4985835694051E-3</v>
      </c>
      <c r="AI61" s="564">
        <v>321</v>
      </c>
      <c r="AJ61" s="568">
        <v>8.2857142857142851E-2</v>
      </c>
      <c r="AK61" s="565">
        <v>45.182118380062306</v>
      </c>
      <c r="AL61" s="574">
        <v>126</v>
      </c>
      <c r="AM61" s="569">
        <v>0.36</v>
      </c>
      <c r="AN61" s="571">
        <v>115.10682539682539</v>
      </c>
      <c r="AO61" s="635"/>
      <c r="AP61" s="575"/>
      <c r="AQ61" s="636"/>
      <c r="AR61" s="637"/>
      <c r="AS61" s="633">
        <v>1.92</v>
      </c>
      <c r="AT61" s="579"/>
      <c r="AU61" s="580"/>
    </row>
    <row r="62" spans="1:47" ht="21" hidden="1" customHeight="1">
      <c r="A62" t="s">
        <v>327</v>
      </c>
      <c r="B62" t="s">
        <v>280</v>
      </c>
      <c r="C62" s="760"/>
      <c r="D62" s="584" t="s">
        <v>40</v>
      </c>
      <c r="E62" s="584" t="s">
        <v>57</v>
      </c>
      <c r="F62" s="584" t="s">
        <v>57</v>
      </c>
      <c r="G62" s="585" t="s">
        <v>60</v>
      </c>
      <c r="H62" s="563">
        <v>33265.94</v>
      </c>
      <c r="I62" s="581">
        <v>826</v>
      </c>
      <c r="J62" s="582">
        <v>40.273535108958839</v>
      </c>
      <c r="K62" s="566">
        <v>501</v>
      </c>
      <c r="L62" s="567">
        <v>0.39346246973365617</v>
      </c>
      <c r="M62" s="564">
        <v>402</v>
      </c>
      <c r="N62" s="568">
        <v>0.19760479041916168</v>
      </c>
      <c r="O62" s="586">
        <v>82.751094527363193</v>
      </c>
      <c r="P62" s="564">
        <v>124</v>
      </c>
      <c r="Q62" s="569">
        <v>0.24750499001996007</v>
      </c>
      <c r="R62" s="570">
        <v>268.27370967741939</v>
      </c>
      <c r="S62" s="565">
        <v>33265.94</v>
      </c>
      <c r="T62" s="564">
        <v>826</v>
      </c>
      <c r="U62" s="639">
        <v>40.273535108958839</v>
      </c>
      <c r="V62" s="566">
        <v>501</v>
      </c>
      <c r="W62" s="567">
        <v>0.39346246973365617</v>
      </c>
      <c r="X62" s="564">
        <v>402</v>
      </c>
      <c r="Y62" s="568">
        <v>0.19760479041916168</v>
      </c>
      <c r="Z62" s="640">
        <v>82.751094527363193</v>
      </c>
      <c r="AA62" s="591">
        <v>124</v>
      </c>
      <c r="AB62" s="569">
        <v>0.24750499001996007</v>
      </c>
      <c r="AC62" s="571">
        <v>268.27370967741939</v>
      </c>
      <c r="AD62" s="572" t="s">
        <v>123</v>
      </c>
      <c r="AE62" s="573" t="s">
        <v>123</v>
      </c>
      <c r="AF62" s="565" t="s">
        <v>123</v>
      </c>
      <c r="AG62" s="566" t="s">
        <v>123</v>
      </c>
      <c r="AH62" s="567" t="s">
        <v>123</v>
      </c>
      <c r="AI62" s="564" t="s">
        <v>123</v>
      </c>
      <c r="AJ62" s="568" t="s">
        <v>123</v>
      </c>
      <c r="AK62" s="586" t="s">
        <v>123</v>
      </c>
      <c r="AL62" s="574" t="s">
        <v>123</v>
      </c>
      <c r="AM62" s="569" t="s">
        <v>123</v>
      </c>
      <c r="AN62" s="571" t="s">
        <v>123</v>
      </c>
      <c r="AO62" s="635"/>
      <c r="AP62" s="587"/>
      <c r="AQ62" s="636"/>
      <c r="AR62" s="641"/>
      <c r="AS62" s="633">
        <v>1.92</v>
      </c>
      <c r="AT62" s="579"/>
      <c r="AU62" s="580"/>
    </row>
    <row r="63" spans="1:47" ht="49.95" customHeight="1">
      <c r="C63" s="758" t="s">
        <v>211</v>
      </c>
      <c r="D63" s="541"/>
      <c r="E63" s="541"/>
      <c r="F63" s="541"/>
      <c r="G63" s="542" t="s">
        <v>139</v>
      </c>
      <c r="H63" s="543">
        <v>68657.84</v>
      </c>
      <c r="I63" s="544">
        <v>2074</v>
      </c>
      <c r="J63" s="545">
        <v>33.104069431051109</v>
      </c>
      <c r="K63" s="546">
        <v>1525</v>
      </c>
      <c r="L63" s="547">
        <v>0.26470588235294118</v>
      </c>
      <c r="M63" s="544">
        <v>1068</v>
      </c>
      <c r="N63" s="548">
        <v>0.29967213114754099</v>
      </c>
      <c r="O63" s="549">
        <v>64.286367041198503</v>
      </c>
      <c r="P63" s="544">
        <v>444</v>
      </c>
      <c r="Q63" s="548">
        <v>0.29114754098360657</v>
      </c>
      <c r="R63" s="550">
        <v>154.63477477477477</v>
      </c>
      <c r="S63" s="545">
        <v>26296.77</v>
      </c>
      <c r="T63" s="544">
        <v>941</v>
      </c>
      <c r="U63" s="627">
        <v>27.945557917109458</v>
      </c>
      <c r="V63" s="546">
        <v>489</v>
      </c>
      <c r="W63" s="547">
        <v>0.48034006376195537</v>
      </c>
      <c r="X63" s="544">
        <v>248</v>
      </c>
      <c r="Y63" s="548">
        <v>0.49284253578732107</v>
      </c>
      <c r="Z63" s="628">
        <v>106.0353629032258</v>
      </c>
      <c r="AA63" s="629">
        <v>85</v>
      </c>
      <c r="AB63" s="548">
        <v>0.17382413087934559</v>
      </c>
      <c r="AC63" s="551">
        <v>309.37376470588237</v>
      </c>
      <c r="AD63" s="552">
        <v>42361.07</v>
      </c>
      <c r="AE63" s="553">
        <v>1133</v>
      </c>
      <c r="AF63" s="549">
        <v>37.38841129744042</v>
      </c>
      <c r="AG63" s="546">
        <v>1036</v>
      </c>
      <c r="AH63" s="547">
        <v>8.5613415710503085E-2</v>
      </c>
      <c r="AI63" s="553">
        <v>820</v>
      </c>
      <c r="AJ63" s="548">
        <v>0.20849420849420849</v>
      </c>
      <c r="AK63" s="549">
        <v>51.659841463414637</v>
      </c>
      <c r="AL63" s="554">
        <v>359</v>
      </c>
      <c r="AM63" s="548">
        <v>0.3465250965250965</v>
      </c>
      <c r="AN63" s="551">
        <v>117.99740947075209</v>
      </c>
      <c r="AO63" s="630">
        <v>0.84960000000000002</v>
      </c>
      <c r="AP63" s="555">
        <v>0.77380000000000004</v>
      </c>
      <c r="AQ63" s="631">
        <v>0.79159999999999997</v>
      </c>
      <c r="AR63" s="632">
        <v>0.80310000000000004</v>
      </c>
      <c r="AS63" s="633">
        <v>2.0299999999999998</v>
      </c>
      <c r="AT63" s="589" t="s">
        <v>212</v>
      </c>
      <c r="AU63" s="589" t="s">
        <v>213</v>
      </c>
    </row>
    <row r="64" spans="1:47" ht="21" hidden="1" customHeight="1">
      <c r="A64" t="s">
        <v>328</v>
      </c>
      <c r="B64" t="s">
        <v>268</v>
      </c>
      <c r="C64" s="759"/>
      <c r="D64" s="561" t="s">
        <v>40</v>
      </c>
      <c r="E64" s="561" t="s">
        <v>142</v>
      </c>
      <c r="F64" s="561" t="s">
        <v>44</v>
      </c>
      <c r="G64" s="562" t="s">
        <v>42</v>
      </c>
      <c r="H64" s="563">
        <v>5302.05</v>
      </c>
      <c r="I64" s="564">
        <v>166</v>
      </c>
      <c r="J64" s="565">
        <v>31.940060240963856</v>
      </c>
      <c r="K64" s="566">
        <v>148</v>
      </c>
      <c r="L64" s="567">
        <v>0.10843373493975904</v>
      </c>
      <c r="M64" s="564">
        <v>116</v>
      </c>
      <c r="N64" s="568">
        <v>0.21621621621621623</v>
      </c>
      <c r="O64" s="565">
        <v>45.707327586206901</v>
      </c>
      <c r="P64" s="564">
        <v>52</v>
      </c>
      <c r="Q64" s="569">
        <v>0.35135135135135137</v>
      </c>
      <c r="R64" s="570">
        <v>101.96250000000001</v>
      </c>
      <c r="S64" s="565" t="s">
        <v>123</v>
      </c>
      <c r="T64" s="564" t="s">
        <v>123</v>
      </c>
      <c r="U64" s="634" t="s">
        <v>123</v>
      </c>
      <c r="V64" s="566" t="s">
        <v>123</v>
      </c>
      <c r="W64" s="567" t="s">
        <v>123</v>
      </c>
      <c r="X64" s="564" t="s">
        <v>123</v>
      </c>
      <c r="Y64" s="568" t="s">
        <v>123</v>
      </c>
      <c r="Z64" s="634" t="s">
        <v>123</v>
      </c>
      <c r="AA64" s="591" t="s">
        <v>123</v>
      </c>
      <c r="AB64" s="569" t="s">
        <v>123</v>
      </c>
      <c r="AC64" s="571" t="s">
        <v>123</v>
      </c>
      <c r="AD64" s="563">
        <v>5302.05</v>
      </c>
      <c r="AE64" s="564">
        <v>166</v>
      </c>
      <c r="AF64" s="565">
        <v>31.940060240963856</v>
      </c>
      <c r="AG64" s="566">
        <v>148</v>
      </c>
      <c r="AH64" s="567">
        <v>0.10843373493975904</v>
      </c>
      <c r="AI64" s="564">
        <v>116</v>
      </c>
      <c r="AJ64" s="568">
        <v>0.21621621621621623</v>
      </c>
      <c r="AK64" s="565">
        <v>45.707327586206901</v>
      </c>
      <c r="AL64" s="591">
        <v>52</v>
      </c>
      <c r="AM64" s="569">
        <v>0.35135135135135137</v>
      </c>
      <c r="AN64" s="571">
        <v>101.96250000000001</v>
      </c>
      <c r="AO64" s="635"/>
      <c r="AP64" s="575"/>
      <c r="AQ64" s="636"/>
      <c r="AR64" s="637"/>
      <c r="AS64" s="638"/>
      <c r="AT64" s="579"/>
      <c r="AU64" s="580"/>
    </row>
    <row r="65" spans="1:47" ht="21" hidden="1" customHeight="1">
      <c r="A65" t="s">
        <v>329</v>
      </c>
      <c r="B65" t="s">
        <v>270</v>
      </c>
      <c r="C65" s="759"/>
      <c r="D65" s="561" t="s">
        <v>52</v>
      </c>
      <c r="E65" s="561" t="s">
        <v>145</v>
      </c>
      <c r="F65" s="561" t="s">
        <v>44</v>
      </c>
      <c r="G65" s="562" t="s">
        <v>42</v>
      </c>
      <c r="H65" s="563">
        <v>21509.74</v>
      </c>
      <c r="I65" s="564">
        <v>503</v>
      </c>
      <c r="J65" s="565">
        <v>42.762902584493048</v>
      </c>
      <c r="K65" s="566">
        <v>463</v>
      </c>
      <c r="L65" s="567">
        <v>7.9522862823061632E-2</v>
      </c>
      <c r="M65" s="564">
        <v>362</v>
      </c>
      <c r="N65" s="568">
        <v>0.21814254859611232</v>
      </c>
      <c r="O65" s="565">
        <v>59.419171270718238</v>
      </c>
      <c r="P65" s="564">
        <v>144</v>
      </c>
      <c r="Q65" s="569">
        <v>0.31101511879049676</v>
      </c>
      <c r="R65" s="570">
        <v>149.37319444444447</v>
      </c>
      <c r="S65" s="565" t="s">
        <v>123</v>
      </c>
      <c r="T65" s="564" t="s">
        <v>123</v>
      </c>
      <c r="U65" s="634" t="s">
        <v>123</v>
      </c>
      <c r="V65" s="566" t="s">
        <v>123</v>
      </c>
      <c r="W65" s="567" t="s">
        <v>123</v>
      </c>
      <c r="X65" s="564" t="s">
        <v>123</v>
      </c>
      <c r="Y65" s="568" t="s">
        <v>123</v>
      </c>
      <c r="Z65" s="634" t="s">
        <v>123</v>
      </c>
      <c r="AA65" s="591" t="s">
        <v>123</v>
      </c>
      <c r="AB65" s="569" t="s">
        <v>123</v>
      </c>
      <c r="AC65" s="571" t="s">
        <v>123</v>
      </c>
      <c r="AD65" s="563">
        <v>21509.74</v>
      </c>
      <c r="AE65" s="564">
        <v>503</v>
      </c>
      <c r="AF65" s="565">
        <v>42.762902584493048</v>
      </c>
      <c r="AG65" s="566">
        <v>463</v>
      </c>
      <c r="AH65" s="567">
        <v>7.9522862823061632E-2</v>
      </c>
      <c r="AI65" s="564">
        <v>362</v>
      </c>
      <c r="AJ65" s="568">
        <v>0.21814254859611232</v>
      </c>
      <c r="AK65" s="565">
        <v>59.419171270718238</v>
      </c>
      <c r="AL65" s="591">
        <v>144</v>
      </c>
      <c r="AM65" s="569">
        <v>0.31101511879049676</v>
      </c>
      <c r="AN65" s="571">
        <v>149.37319444444447</v>
      </c>
      <c r="AO65" s="635"/>
      <c r="AP65" s="575"/>
      <c r="AQ65" s="636"/>
      <c r="AR65" s="637"/>
      <c r="AS65" s="638"/>
      <c r="AT65" s="579"/>
      <c r="AU65" s="580"/>
    </row>
    <row r="66" spans="1:47" ht="21" hidden="1" customHeight="1">
      <c r="A66" t="s">
        <v>330</v>
      </c>
      <c r="B66" t="s">
        <v>272</v>
      </c>
      <c r="C66" s="759"/>
      <c r="D66" s="561" t="s">
        <v>40</v>
      </c>
      <c r="E66" s="561" t="s">
        <v>57</v>
      </c>
      <c r="F66" s="561" t="s">
        <v>57</v>
      </c>
      <c r="G66" s="562" t="s">
        <v>42</v>
      </c>
      <c r="H66" s="563">
        <v>4351.4799999999996</v>
      </c>
      <c r="I66" s="564">
        <v>390</v>
      </c>
      <c r="J66" s="565">
        <v>11.157641025641025</v>
      </c>
      <c r="K66" s="566">
        <v>176</v>
      </c>
      <c r="L66" s="567">
        <v>0.54871794871794877</v>
      </c>
      <c r="M66" s="564">
        <v>62</v>
      </c>
      <c r="N66" s="568">
        <v>0.64772727272727271</v>
      </c>
      <c r="O66" s="565">
        <v>70.185161290322569</v>
      </c>
      <c r="P66" s="564">
        <v>8</v>
      </c>
      <c r="Q66" s="569">
        <v>4.5454545454545456E-2</v>
      </c>
      <c r="R66" s="570">
        <v>543.93499999999995</v>
      </c>
      <c r="S66" s="565">
        <v>4351.4799999999996</v>
      </c>
      <c r="T66" s="564">
        <v>390</v>
      </c>
      <c r="U66" s="634">
        <v>11.157641025641025</v>
      </c>
      <c r="V66" s="566">
        <v>176</v>
      </c>
      <c r="W66" s="567">
        <v>0.54871794871794877</v>
      </c>
      <c r="X66" s="564">
        <v>62</v>
      </c>
      <c r="Y66" s="568">
        <v>0.64772727272727271</v>
      </c>
      <c r="Z66" s="634">
        <v>70.185161290322569</v>
      </c>
      <c r="AA66" s="591">
        <v>8</v>
      </c>
      <c r="AB66" s="569">
        <v>4.5454545454545456E-2</v>
      </c>
      <c r="AC66" s="571">
        <v>543.93499999999995</v>
      </c>
      <c r="AD66" s="563" t="s">
        <v>123</v>
      </c>
      <c r="AE66" s="564" t="s">
        <v>123</v>
      </c>
      <c r="AF66" s="565" t="s">
        <v>123</v>
      </c>
      <c r="AG66" s="566" t="s">
        <v>123</v>
      </c>
      <c r="AH66" s="567" t="s">
        <v>123</v>
      </c>
      <c r="AI66" s="564" t="s">
        <v>123</v>
      </c>
      <c r="AJ66" s="568" t="s">
        <v>123</v>
      </c>
      <c r="AK66" s="565" t="s">
        <v>123</v>
      </c>
      <c r="AL66" s="591" t="s">
        <v>123</v>
      </c>
      <c r="AM66" s="569" t="s">
        <v>123</v>
      </c>
      <c r="AN66" s="571" t="s">
        <v>123</v>
      </c>
      <c r="AO66" s="635"/>
      <c r="AP66" s="575"/>
      <c r="AQ66" s="636"/>
      <c r="AR66" s="637"/>
      <c r="AS66" s="638"/>
      <c r="AT66" s="579"/>
      <c r="AU66" s="580"/>
    </row>
    <row r="67" spans="1:47" ht="21" hidden="1" customHeight="1">
      <c r="A67" t="s">
        <v>331</v>
      </c>
      <c r="B67" t="s">
        <v>274</v>
      </c>
      <c r="C67" s="759"/>
      <c r="D67" s="561" t="s">
        <v>52</v>
      </c>
      <c r="E67" s="561" t="s">
        <v>121</v>
      </c>
      <c r="F67" s="561" t="s">
        <v>44</v>
      </c>
      <c r="G67" s="562" t="s">
        <v>42</v>
      </c>
      <c r="H67" s="563">
        <v>643.89</v>
      </c>
      <c r="I67" s="564">
        <v>3</v>
      </c>
      <c r="J67" s="565">
        <v>214.63</v>
      </c>
      <c r="K67" s="566">
        <v>3</v>
      </c>
      <c r="L67" s="567">
        <v>0</v>
      </c>
      <c r="M67" s="564">
        <v>3</v>
      </c>
      <c r="N67" s="568">
        <v>0</v>
      </c>
      <c r="O67" s="565">
        <v>214.63</v>
      </c>
      <c r="P67" s="564">
        <v>2</v>
      </c>
      <c r="Q67" s="569">
        <v>0.66666666666666663</v>
      </c>
      <c r="R67" s="570">
        <v>321.94499999999999</v>
      </c>
      <c r="S67" s="565" t="s">
        <v>123</v>
      </c>
      <c r="T67" s="564" t="s">
        <v>123</v>
      </c>
      <c r="U67" s="634" t="s">
        <v>123</v>
      </c>
      <c r="V67" s="566" t="s">
        <v>123</v>
      </c>
      <c r="W67" s="567" t="s">
        <v>123</v>
      </c>
      <c r="X67" s="564" t="s">
        <v>123</v>
      </c>
      <c r="Y67" s="568" t="s">
        <v>123</v>
      </c>
      <c r="Z67" s="634" t="s">
        <v>123</v>
      </c>
      <c r="AA67" s="591" t="s">
        <v>123</v>
      </c>
      <c r="AB67" s="569" t="s">
        <v>123</v>
      </c>
      <c r="AC67" s="571" t="s">
        <v>123</v>
      </c>
      <c r="AD67" s="563">
        <v>643.89</v>
      </c>
      <c r="AE67" s="564">
        <v>3</v>
      </c>
      <c r="AF67" s="565">
        <v>214.63</v>
      </c>
      <c r="AG67" s="566">
        <v>3</v>
      </c>
      <c r="AH67" s="567">
        <v>0</v>
      </c>
      <c r="AI67" s="564">
        <v>3</v>
      </c>
      <c r="AJ67" s="568">
        <v>0</v>
      </c>
      <c r="AK67" s="565">
        <v>214.63</v>
      </c>
      <c r="AL67" s="591">
        <v>2</v>
      </c>
      <c r="AM67" s="569">
        <v>0.66666666666666663</v>
      </c>
      <c r="AN67" s="571">
        <v>321.94499999999999</v>
      </c>
      <c r="AO67" s="635"/>
      <c r="AP67" s="575"/>
      <c r="AQ67" s="636"/>
      <c r="AR67" s="637"/>
      <c r="AS67" s="638"/>
      <c r="AT67" s="579"/>
      <c r="AU67" s="580"/>
    </row>
    <row r="68" spans="1:47" ht="21" hidden="1" customHeight="1">
      <c r="A68" t="s">
        <v>332</v>
      </c>
      <c r="B68" t="s">
        <v>276</v>
      </c>
      <c r="C68" s="759"/>
      <c r="D68" s="561" t="s">
        <v>40</v>
      </c>
      <c r="E68" s="561" t="s">
        <v>142</v>
      </c>
      <c r="F68" s="561" t="s">
        <v>44</v>
      </c>
      <c r="G68" s="562" t="s">
        <v>60</v>
      </c>
      <c r="H68" s="563">
        <v>4091.38</v>
      </c>
      <c r="I68" s="564">
        <v>179</v>
      </c>
      <c r="J68" s="565">
        <v>22.856871508379889</v>
      </c>
      <c r="K68" s="566">
        <v>159</v>
      </c>
      <c r="L68" s="567">
        <v>0.11173184357541899</v>
      </c>
      <c r="M68" s="564">
        <v>130</v>
      </c>
      <c r="N68" s="568">
        <v>0.18238993710691823</v>
      </c>
      <c r="O68" s="565">
        <v>31.472153846153848</v>
      </c>
      <c r="P68" s="564">
        <v>59</v>
      </c>
      <c r="Q68" s="569">
        <v>0.37106918238993708</v>
      </c>
      <c r="R68" s="570">
        <v>69.345423728813557</v>
      </c>
      <c r="S68" s="565" t="s">
        <v>123</v>
      </c>
      <c r="T68" s="564" t="s">
        <v>123</v>
      </c>
      <c r="U68" s="634" t="s">
        <v>123</v>
      </c>
      <c r="V68" s="566" t="s">
        <v>123</v>
      </c>
      <c r="W68" s="567" t="s">
        <v>123</v>
      </c>
      <c r="X68" s="564" t="s">
        <v>123</v>
      </c>
      <c r="Y68" s="568" t="s">
        <v>123</v>
      </c>
      <c r="Z68" s="634" t="s">
        <v>123</v>
      </c>
      <c r="AA68" s="591" t="s">
        <v>123</v>
      </c>
      <c r="AB68" s="569" t="s">
        <v>123</v>
      </c>
      <c r="AC68" s="571" t="s">
        <v>123</v>
      </c>
      <c r="AD68" s="563">
        <v>4091.38</v>
      </c>
      <c r="AE68" s="564">
        <v>179</v>
      </c>
      <c r="AF68" s="565">
        <v>22.856871508379889</v>
      </c>
      <c r="AG68" s="566">
        <v>159</v>
      </c>
      <c r="AH68" s="567">
        <v>0.11173184357541899</v>
      </c>
      <c r="AI68" s="564">
        <v>130</v>
      </c>
      <c r="AJ68" s="568">
        <v>0.18238993710691823</v>
      </c>
      <c r="AK68" s="565">
        <v>31.472153846153848</v>
      </c>
      <c r="AL68" s="591">
        <v>59</v>
      </c>
      <c r="AM68" s="569">
        <v>0.37106918238993708</v>
      </c>
      <c r="AN68" s="571">
        <v>69.345423728813557</v>
      </c>
      <c r="AO68" s="635"/>
      <c r="AP68" s="575"/>
      <c r="AQ68" s="636"/>
      <c r="AR68" s="637"/>
      <c r="AS68" s="638"/>
      <c r="AT68" s="579"/>
      <c r="AU68" s="580"/>
    </row>
    <row r="69" spans="1:47" ht="21" hidden="1" customHeight="1">
      <c r="A69" t="s">
        <v>333</v>
      </c>
      <c r="B69" t="s">
        <v>278</v>
      </c>
      <c r="C69" s="759"/>
      <c r="D69" s="561" t="s">
        <v>52</v>
      </c>
      <c r="E69" s="561" t="s">
        <v>145</v>
      </c>
      <c r="F69" s="561" t="s">
        <v>44</v>
      </c>
      <c r="G69" s="562" t="s">
        <v>60</v>
      </c>
      <c r="H69" s="563">
        <v>10814.01</v>
      </c>
      <c r="I69" s="564">
        <v>282</v>
      </c>
      <c r="J69" s="565">
        <v>38.347553191489361</v>
      </c>
      <c r="K69" s="566">
        <v>263</v>
      </c>
      <c r="L69" s="567">
        <v>6.7375886524822695E-2</v>
      </c>
      <c r="M69" s="564">
        <v>209</v>
      </c>
      <c r="N69" s="568">
        <v>0.20532319391634982</v>
      </c>
      <c r="O69" s="565">
        <v>51.741674641148329</v>
      </c>
      <c r="P69" s="564">
        <v>102</v>
      </c>
      <c r="Q69" s="569">
        <v>0.38783269961977185</v>
      </c>
      <c r="R69" s="570">
        <v>106.01970588235294</v>
      </c>
      <c r="S69" s="565" t="s">
        <v>123</v>
      </c>
      <c r="T69" s="564" t="s">
        <v>123</v>
      </c>
      <c r="U69" s="634" t="s">
        <v>123</v>
      </c>
      <c r="V69" s="566" t="s">
        <v>123</v>
      </c>
      <c r="W69" s="567" t="s">
        <v>123</v>
      </c>
      <c r="X69" s="564" t="s">
        <v>123</v>
      </c>
      <c r="Y69" s="568" t="s">
        <v>123</v>
      </c>
      <c r="Z69" s="634" t="s">
        <v>123</v>
      </c>
      <c r="AA69" s="591" t="s">
        <v>123</v>
      </c>
      <c r="AB69" s="569" t="s">
        <v>123</v>
      </c>
      <c r="AC69" s="571" t="s">
        <v>123</v>
      </c>
      <c r="AD69" s="563">
        <v>10814.01</v>
      </c>
      <c r="AE69" s="564">
        <v>282</v>
      </c>
      <c r="AF69" s="565">
        <v>38.347553191489361</v>
      </c>
      <c r="AG69" s="566">
        <v>263</v>
      </c>
      <c r="AH69" s="567">
        <v>6.7375886524822695E-2</v>
      </c>
      <c r="AI69" s="564">
        <v>209</v>
      </c>
      <c r="AJ69" s="568">
        <v>0.20532319391634982</v>
      </c>
      <c r="AK69" s="565">
        <v>51.741674641148329</v>
      </c>
      <c r="AL69" s="591">
        <v>102</v>
      </c>
      <c r="AM69" s="569">
        <v>0.38783269961977185</v>
      </c>
      <c r="AN69" s="571">
        <v>106.01970588235294</v>
      </c>
      <c r="AO69" s="635"/>
      <c r="AP69" s="575"/>
      <c r="AQ69" s="636"/>
      <c r="AR69" s="637"/>
      <c r="AS69" s="638"/>
      <c r="AT69" s="579"/>
      <c r="AU69" s="580"/>
    </row>
    <row r="70" spans="1:47" ht="21" hidden="1" customHeight="1">
      <c r="A70" t="s">
        <v>334</v>
      </c>
      <c r="B70" t="s">
        <v>280</v>
      </c>
      <c r="C70" s="760"/>
      <c r="D70" s="584" t="s">
        <v>40</v>
      </c>
      <c r="E70" s="584" t="s">
        <v>57</v>
      </c>
      <c r="F70" s="584" t="s">
        <v>57</v>
      </c>
      <c r="G70" s="585" t="s">
        <v>60</v>
      </c>
      <c r="H70" s="563">
        <v>21945.29</v>
      </c>
      <c r="I70" s="581">
        <v>551</v>
      </c>
      <c r="J70" s="582">
        <v>39.828112522686027</v>
      </c>
      <c r="K70" s="566">
        <v>313</v>
      </c>
      <c r="L70" s="567">
        <v>0.43194192377495461</v>
      </c>
      <c r="M70" s="564">
        <v>186</v>
      </c>
      <c r="N70" s="568">
        <v>0.40575079872204473</v>
      </c>
      <c r="O70" s="586">
        <v>117.98543010752688</v>
      </c>
      <c r="P70" s="564">
        <v>77</v>
      </c>
      <c r="Q70" s="569">
        <v>0.24600638977635783</v>
      </c>
      <c r="R70" s="570">
        <v>285.00376623376627</v>
      </c>
      <c r="S70" s="565">
        <v>21945.29</v>
      </c>
      <c r="T70" s="564">
        <v>551</v>
      </c>
      <c r="U70" s="639">
        <v>39.828112522686027</v>
      </c>
      <c r="V70" s="566">
        <v>313</v>
      </c>
      <c r="W70" s="567">
        <v>0.43194192377495461</v>
      </c>
      <c r="X70" s="564">
        <v>186</v>
      </c>
      <c r="Y70" s="568">
        <v>0.40575079872204473</v>
      </c>
      <c r="Z70" s="640">
        <v>117.98543010752688</v>
      </c>
      <c r="AA70" s="591">
        <v>77</v>
      </c>
      <c r="AB70" s="569">
        <v>0.24600638977635783</v>
      </c>
      <c r="AC70" s="571">
        <v>285.00376623376627</v>
      </c>
      <c r="AD70" s="563" t="s">
        <v>123</v>
      </c>
      <c r="AE70" s="564" t="s">
        <v>123</v>
      </c>
      <c r="AF70" s="565" t="s">
        <v>123</v>
      </c>
      <c r="AG70" s="566" t="s">
        <v>123</v>
      </c>
      <c r="AH70" s="567" t="s">
        <v>123</v>
      </c>
      <c r="AI70" s="564" t="s">
        <v>123</v>
      </c>
      <c r="AJ70" s="568" t="s">
        <v>123</v>
      </c>
      <c r="AK70" s="586" t="s">
        <v>123</v>
      </c>
      <c r="AL70" s="591" t="s">
        <v>123</v>
      </c>
      <c r="AM70" s="569" t="s">
        <v>123</v>
      </c>
      <c r="AN70" s="571" t="s">
        <v>123</v>
      </c>
      <c r="AO70" s="635"/>
      <c r="AP70" s="587"/>
      <c r="AQ70" s="636"/>
      <c r="AR70" s="641"/>
      <c r="AS70" s="638"/>
      <c r="AT70" s="579"/>
      <c r="AU70" s="580"/>
    </row>
    <row r="71" spans="1:47" ht="49.95" customHeight="1">
      <c r="C71" s="758" t="s">
        <v>221</v>
      </c>
      <c r="D71" s="541"/>
      <c r="E71" s="541"/>
      <c r="F71" s="541"/>
      <c r="G71" s="542" t="s">
        <v>139</v>
      </c>
      <c r="H71" s="543">
        <v>39796.639999999999</v>
      </c>
      <c r="I71" s="544">
        <v>1778</v>
      </c>
      <c r="J71" s="545">
        <v>22.382812148481438</v>
      </c>
      <c r="K71" s="546">
        <v>1190</v>
      </c>
      <c r="L71" s="547">
        <v>0.33070866141732286</v>
      </c>
      <c r="M71" s="544">
        <v>781</v>
      </c>
      <c r="N71" s="548">
        <v>0.34369747899159664</v>
      </c>
      <c r="O71" s="549">
        <v>50.956005121638924</v>
      </c>
      <c r="P71" s="544">
        <v>333</v>
      </c>
      <c r="Q71" s="548">
        <v>0.27983193277310925</v>
      </c>
      <c r="R71" s="550">
        <v>119.50942942942943</v>
      </c>
      <c r="S71" s="545">
        <v>15121.6</v>
      </c>
      <c r="T71" s="544">
        <v>1025</v>
      </c>
      <c r="U71" s="627">
        <v>14.752780487804879</v>
      </c>
      <c r="V71" s="546">
        <v>458</v>
      </c>
      <c r="W71" s="547">
        <v>0.55317073170731712</v>
      </c>
      <c r="X71" s="544">
        <v>225</v>
      </c>
      <c r="Y71" s="548">
        <v>0.50873362445414849</v>
      </c>
      <c r="Z71" s="628">
        <v>67.207111111111118</v>
      </c>
      <c r="AA71" s="629">
        <v>85</v>
      </c>
      <c r="AB71" s="548">
        <v>0.18558951965065501</v>
      </c>
      <c r="AC71" s="551">
        <v>177.90117647058824</v>
      </c>
      <c r="AD71" s="552">
        <v>24675.040000000001</v>
      </c>
      <c r="AE71" s="553">
        <v>753</v>
      </c>
      <c r="AF71" s="549">
        <v>32.768977423638781</v>
      </c>
      <c r="AG71" s="546">
        <v>732</v>
      </c>
      <c r="AH71" s="547">
        <v>2.7888446215139442E-2</v>
      </c>
      <c r="AI71" s="553">
        <v>556</v>
      </c>
      <c r="AJ71" s="548">
        <v>0.24043715846994534</v>
      </c>
      <c r="AK71" s="549">
        <v>44.37956834532374</v>
      </c>
      <c r="AL71" s="554">
        <v>248</v>
      </c>
      <c r="AM71" s="643">
        <v>0.33879781420765026</v>
      </c>
      <c r="AN71" s="551">
        <v>99.496129032258068</v>
      </c>
      <c r="AO71" s="630">
        <v>0.87460000000000004</v>
      </c>
      <c r="AP71" s="555">
        <v>0.72760000000000002</v>
      </c>
      <c r="AQ71" s="631">
        <v>0.75780000000000003</v>
      </c>
      <c r="AR71" s="632">
        <v>0.76780000000000004</v>
      </c>
      <c r="AS71" s="633">
        <v>3.92</v>
      </c>
      <c r="AT71" s="589" t="s">
        <v>335</v>
      </c>
      <c r="AU71" s="589" t="s">
        <v>336</v>
      </c>
    </row>
    <row r="72" spans="1:47" ht="21" hidden="1" customHeight="1">
      <c r="A72" t="s">
        <v>337</v>
      </c>
      <c r="B72" t="s">
        <v>268</v>
      </c>
      <c r="C72" s="759"/>
      <c r="D72" s="561" t="s">
        <v>40</v>
      </c>
      <c r="E72" s="561" t="s">
        <v>142</v>
      </c>
      <c r="F72" s="561" t="s">
        <v>44</v>
      </c>
      <c r="G72" s="562" t="s">
        <v>42</v>
      </c>
      <c r="H72" s="563">
        <v>2425.46</v>
      </c>
      <c r="I72" s="564">
        <v>96</v>
      </c>
      <c r="J72" s="565">
        <v>25.265208333333334</v>
      </c>
      <c r="K72" s="566">
        <v>100</v>
      </c>
      <c r="L72" s="567">
        <v>-4.1666666666666664E-2</v>
      </c>
      <c r="M72" s="564">
        <v>73</v>
      </c>
      <c r="N72" s="568">
        <v>0.27</v>
      </c>
      <c r="O72" s="565">
        <v>33.225479452054792</v>
      </c>
      <c r="P72" s="564">
        <v>39</v>
      </c>
      <c r="Q72" s="569">
        <v>0.39</v>
      </c>
      <c r="R72" s="570">
        <v>62.191282051282052</v>
      </c>
      <c r="S72" s="565" t="s">
        <v>123</v>
      </c>
      <c r="T72" s="564" t="s">
        <v>123</v>
      </c>
      <c r="U72" s="634" t="s">
        <v>123</v>
      </c>
      <c r="V72" s="566" t="s">
        <v>123</v>
      </c>
      <c r="W72" s="567" t="s">
        <v>123</v>
      </c>
      <c r="X72" s="564" t="s">
        <v>123</v>
      </c>
      <c r="Y72" s="568" t="s">
        <v>123</v>
      </c>
      <c r="Z72" s="634" t="s">
        <v>123</v>
      </c>
      <c r="AA72" s="591" t="s">
        <v>123</v>
      </c>
      <c r="AB72" s="569" t="s">
        <v>123</v>
      </c>
      <c r="AC72" s="571" t="s">
        <v>123</v>
      </c>
      <c r="AD72" s="572">
        <v>2425.46</v>
      </c>
      <c r="AE72" s="564">
        <v>96</v>
      </c>
      <c r="AF72" s="565">
        <v>25.265208333333334</v>
      </c>
      <c r="AG72" s="566">
        <v>100</v>
      </c>
      <c r="AH72" s="567">
        <v>-4.1666666666666664E-2</v>
      </c>
      <c r="AI72" s="564">
        <v>73</v>
      </c>
      <c r="AJ72" s="568">
        <v>0.27</v>
      </c>
      <c r="AK72" s="565">
        <v>33.225479452054792</v>
      </c>
      <c r="AL72" s="574">
        <v>39</v>
      </c>
      <c r="AM72" s="575">
        <v>0.39</v>
      </c>
      <c r="AN72" s="571">
        <v>62.191282051282052</v>
      </c>
      <c r="AO72" s="635"/>
      <c r="AP72" s="575"/>
      <c r="AQ72" s="636"/>
      <c r="AR72" s="637"/>
      <c r="AS72" s="633">
        <v>2.67</v>
      </c>
      <c r="AT72" s="579"/>
      <c r="AU72" s="580"/>
    </row>
    <row r="73" spans="1:47" ht="21" hidden="1" customHeight="1">
      <c r="A73" t="s">
        <v>338</v>
      </c>
      <c r="B73" t="s">
        <v>270</v>
      </c>
      <c r="C73" s="759"/>
      <c r="D73" s="561" t="s">
        <v>52</v>
      </c>
      <c r="E73" s="561" t="s">
        <v>145</v>
      </c>
      <c r="F73" s="561" t="s">
        <v>44</v>
      </c>
      <c r="G73" s="562" t="s">
        <v>42</v>
      </c>
      <c r="H73" s="563">
        <v>9568.92</v>
      </c>
      <c r="I73" s="564">
        <v>236</v>
      </c>
      <c r="J73" s="565">
        <v>40.546271186440677</v>
      </c>
      <c r="K73" s="566">
        <v>232</v>
      </c>
      <c r="L73" s="567">
        <v>1.6949152542372881E-2</v>
      </c>
      <c r="M73" s="564">
        <v>170</v>
      </c>
      <c r="N73" s="568">
        <v>0.26724137931034481</v>
      </c>
      <c r="O73" s="565">
        <v>56.287764705882353</v>
      </c>
      <c r="P73" s="564">
        <v>68</v>
      </c>
      <c r="Q73" s="569">
        <v>0.29310344827586204</v>
      </c>
      <c r="R73" s="570">
        <v>140.71941176470588</v>
      </c>
      <c r="S73" s="565" t="s">
        <v>123</v>
      </c>
      <c r="T73" s="564" t="s">
        <v>123</v>
      </c>
      <c r="U73" s="634" t="s">
        <v>123</v>
      </c>
      <c r="V73" s="566" t="s">
        <v>123</v>
      </c>
      <c r="W73" s="567" t="s">
        <v>123</v>
      </c>
      <c r="X73" s="564" t="s">
        <v>123</v>
      </c>
      <c r="Y73" s="568" t="s">
        <v>123</v>
      </c>
      <c r="Z73" s="634" t="s">
        <v>123</v>
      </c>
      <c r="AA73" s="591" t="s">
        <v>123</v>
      </c>
      <c r="AB73" s="569" t="s">
        <v>123</v>
      </c>
      <c r="AC73" s="571" t="s">
        <v>123</v>
      </c>
      <c r="AD73" s="572">
        <v>9568.92</v>
      </c>
      <c r="AE73" s="564">
        <v>236</v>
      </c>
      <c r="AF73" s="565">
        <v>40.546271186440677</v>
      </c>
      <c r="AG73" s="566">
        <v>232</v>
      </c>
      <c r="AH73" s="567">
        <v>1.6949152542372881E-2</v>
      </c>
      <c r="AI73" s="564">
        <v>170</v>
      </c>
      <c r="AJ73" s="568">
        <v>0.26724137931034481</v>
      </c>
      <c r="AK73" s="565">
        <v>56.287764705882353</v>
      </c>
      <c r="AL73" s="574">
        <v>68</v>
      </c>
      <c r="AM73" s="575">
        <v>0.29310344827586204</v>
      </c>
      <c r="AN73" s="571">
        <v>140.71941176470588</v>
      </c>
      <c r="AO73" s="635"/>
      <c r="AP73" s="575"/>
      <c r="AQ73" s="636"/>
      <c r="AR73" s="637"/>
      <c r="AS73" s="633">
        <v>2.67</v>
      </c>
      <c r="AT73" s="579"/>
      <c r="AU73" s="580"/>
    </row>
    <row r="74" spans="1:47" ht="21" hidden="1" customHeight="1">
      <c r="A74" t="s">
        <v>339</v>
      </c>
      <c r="B74" t="s">
        <v>272</v>
      </c>
      <c r="C74" s="759"/>
      <c r="D74" s="561" t="s">
        <v>40</v>
      </c>
      <c r="E74" s="561" t="s">
        <v>57</v>
      </c>
      <c r="F74" s="561" t="s">
        <v>57</v>
      </c>
      <c r="G74" s="562" t="s">
        <v>42</v>
      </c>
      <c r="H74" s="563">
        <v>1935.95</v>
      </c>
      <c r="I74" s="564">
        <v>165</v>
      </c>
      <c r="J74" s="565">
        <v>11.733030303030302</v>
      </c>
      <c r="K74" s="566">
        <v>55</v>
      </c>
      <c r="L74" s="567">
        <v>0.66666666666666663</v>
      </c>
      <c r="M74" s="564">
        <v>16</v>
      </c>
      <c r="N74" s="568">
        <v>0.70909090909090911</v>
      </c>
      <c r="O74" s="565">
        <v>120.996875</v>
      </c>
      <c r="P74" s="564">
        <v>3</v>
      </c>
      <c r="Q74" s="569">
        <v>5.4545454545454543E-2</v>
      </c>
      <c r="R74" s="570">
        <v>645.31666666666672</v>
      </c>
      <c r="S74" s="565">
        <v>1935.95</v>
      </c>
      <c r="T74" s="564">
        <v>165</v>
      </c>
      <c r="U74" s="634">
        <v>11.733030303030302</v>
      </c>
      <c r="V74" s="566">
        <v>55</v>
      </c>
      <c r="W74" s="567">
        <v>0.66666666666666663</v>
      </c>
      <c r="X74" s="564">
        <v>16</v>
      </c>
      <c r="Y74" s="568">
        <v>0.70909090909090911</v>
      </c>
      <c r="Z74" s="634">
        <v>120.996875</v>
      </c>
      <c r="AA74" s="591">
        <v>3</v>
      </c>
      <c r="AB74" s="569">
        <v>5.4545454545454543E-2</v>
      </c>
      <c r="AC74" s="571">
        <v>645.31666666666672</v>
      </c>
      <c r="AD74" s="572" t="s">
        <v>123</v>
      </c>
      <c r="AE74" s="564" t="s">
        <v>123</v>
      </c>
      <c r="AF74" s="565" t="s">
        <v>123</v>
      </c>
      <c r="AG74" s="566" t="s">
        <v>123</v>
      </c>
      <c r="AH74" s="567" t="s">
        <v>123</v>
      </c>
      <c r="AI74" s="564" t="s">
        <v>123</v>
      </c>
      <c r="AJ74" s="568" t="s">
        <v>123</v>
      </c>
      <c r="AK74" s="565" t="s">
        <v>123</v>
      </c>
      <c r="AL74" s="574" t="s">
        <v>123</v>
      </c>
      <c r="AM74" s="575" t="s">
        <v>123</v>
      </c>
      <c r="AN74" s="571" t="s">
        <v>123</v>
      </c>
      <c r="AO74" s="635"/>
      <c r="AP74" s="575"/>
      <c r="AQ74" s="636"/>
      <c r="AR74" s="637"/>
      <c r="AS74" s="633">
        <v>2.67</v>
      </c>
      <c r="AT74" s="579"/>
      <c r="AU74" s="580"/>
    </row>
    <row r="75" spans="1:47" ht="21" hidden="1" customHeight="1">
      <c r="A75" t="s">
        <v>340</v>
      </c>
      <c r="B75" t="s">
        <v>274</v>
      </c>
      <c r="C75" s="759"/>
      <c r="D75" s="561" t="s">
        <v>52</v>
      </c>
      <c r="E75" s="561" t="s">
        <v>121</v>
      </c>
      <c r="F75" s="561" t="s">
        <v>44</v>
      </c>
      <c r="G75" s="562" t="s">
        <v>42</v>
      </c>
      <c r="H75" s="563">
        <v>548.54</v>
      </c>
      <c r="I75" s="564">
        <v>4</v>
      </c>
      <c r="J75" s="565">
        <v>137.13499999999999</v>
      </c>
      <c r="K75" s="566">
        <v>4</v>
      </c>
      <c r="L75" s="567">
        <v>0</v>
      </c>
      <c r="M75" s="564">
        <v>4</v>
      </c>
      <c r="N75" s="568">
        <v>0</v>
      </c>
      <c r="O75" s="565">
        <v>137.13499999999999</v>
      </c>
      <c r="P75" s="564">
        <v>4</v>
      </c>
      <c r="Q75" s="569">
        <v>1</v>
      </c>
      <c r="R75" s="570">
        <v>137.13499999999999</v>
      </c>
      <c r="S75" s="565" t="s">
        <v>123</v>
      </c>
      <c r="T75" s="564" t="s">
        <v>123</v>
      </c>
      <c r="U75" s="634" t="s">
        <v>123</v>
      </c>
      <c r="V75" s="566" t="s">
        <v>123</v>
      </c>
      <c r="W75" s="567" t="s">
        <v>123</v>
      </c>
      <c r="X75" s="564" t="s">
        <v>123</v>
      </c>
      <c r="Y75" s="568" t="s">
        <v>123</v>
      </c>
      <c r="Z75" s="634" t="s">
        <v>123</v>
      </c>
      <c r="AA75" s="591" t="s">
        <v>123</v>
      </c>
      <c r="AB75" s="569" t="s">
        <v>123</v>
      </c>
      <c r="AC75" s="571" t="s">
        <v>123</v>
      </c>
      <c r="AD75" s="572">
        <v>548.54</v>
      </c>
      <c r="AE75" s="564">
        <v>4</v>
      </c>
      <c r="AF75" s="565">
        <v>137.13499999999999</v>
      </c>
      <c r="AG75" s="566">
        <v>4</v>
      </c>
      <c r="AH75" s="567">
        <v>0</v>
      </c>
      <c r="AI75" s="564">
        <v>4</v>
      </c>
      <c r="AJ75" s="568">
        <v>0</v>
      </c>
      <c r="AK75" s="565">
        <v>137.13499999999999</v>
      </c>
      <c r="AL75" s="574">
        <v>4</v>
      </c>
      <c r="AM75" s="575">
        <v>1</v>
      </c>
      <c r="AN75" s="571">
        <v>137.13499999999999</v>
      </c>
      <c r="AO75" s="635"/>
      <c r="AP75" s="575"/>
      <c r="AQ75" s="636"/>
      <c r="AR75" s="637"/>
      <c r="AS75" s="633">
        <v>2.67</v>
      </c>
      <c r="AT75" s="579"/>
      <c r="AU75" s="580"/>
    </row>
    <row r="76" spans="1:47" ht="21" hidden="1" customHeight="1">
      <c r="A76" t="s">
        <v>341</v>
      </c>
      <c r="B76" t="s">
        <v>276</v>
      </c>
      <c r="C76" s="759"/>
      <c r="D76" s="561" t="s">
        <v>40</v>
      </c>
      <c r="E76" s="561" t="s">
        <v>142</v>
      </c>
      <c r="F76" s="561" t="s">
        <v>44</v>
      </c>
      <c r="G76" s="562" t="s">
        <v>60</v>
      </c>
      <c r="H76" s="563">
        <v>3316.91</v>
      </c>
      <c r="I76" s="564">
        <v>143</v>
      </c>
      <c r="J76" s="565">
        <v>23.195174825174824</v>
      </c>
      <c r="K76" s="566">
        <v>137</v>
      </c>
      <c r="L76" s="567">
        <v>4.195804195804196E-2</v>
      </c>
      <c r="M76" s="564">
        <v>102</v>
      </c>
      <c r="N76" s="568">
        <v>0.25547445255474455</v>
      </c>
      <c r="O76" s="565">
        <v>32.518725490196076</v>
      </c>
      <c r="P76" s="564">
        <v>40</v>
      </c>
      <c r="Q76" s="569">
        <v>0.29197080291970801</v>
      </c>
      <c r="R76" s="570">
        <v>82.922749999999994</v>
      </c>
      <c r="S76" s="565" t="s">
        <v>123</v>
      </c>
      <c r="T76" s="564" t="s">
        <v>123</v>
      </c>
      <c r="U76" s="634" t="s">
        <v>123</v>
      </c>
      <c r="V76" s="566" t="s">
        <v>123</v>
      </c>
      <c r="W76" s="567" t="s">
        <v>123</v>
      </c>
      <c r="X76" s="564" t="s">
        <v>123</v>
      </c>
      <c r="Y76" s="568" t="s">
        <v>123</v>
      </c>
      <c r="Z76" s="634" t="s">
        <v>123</v>
      </c>
      <c r="AA76" s="591" t="s">
        <v>123</v>
      </c>
      <c r="AB76" s="569" t="s">
        <v>123</v>
      </c>
      <c r="AC76" s="571" t="s">
        <v>123</v>
      </c>
      <c r="AD76" s="572">
        <v>3316.91</v>
      </c>
      <c r="AE76" s="564">
        <v>143</v>
      </c>
      <c r="AF76" s="565">
        <v>23.195174825174824</v>
      </c>
      <c r="AG76" s="566">
        <v>137</v>
      </c>
      <c r="AH76" s="567">
        <v>4.195804195804196E-2</v>
      </c>
      <c r="AI76" s="564">
        <v>102</v>
      </c>
      <c r="AJ76" s="568">
        <v>0.25547445255474455</v>
      </c>
      <c r="AK76" s="565">
        <v>32.518725490196076</v>
      </c>
      <c r="AL76" s="574">
        <v>40</v>
      </c>
      <c r="AM76" s="575">
        <v>0.29197080291970801</v>
      </c>
      <c r="AN76" s="571">
        <v>82.922749999999994</v>
      </c>
      <c r="AO76" s="635"/>
      <c r="AP76" s="575"/>
      <c r="AQ76" s="636"/>
      <c r="AR76" s="637"/>
      <c r="AS76" s="633">
        <v>2.67</v>
      </c>
      <c r="AT76" s="579"/>
      <c r="AU76" s="580"/>
    </row>
    <row r="77" spans="1:47" ht="21" hidden="1" customHeight="1">
      <c r="A77" t="s">
        <v>342</v>
      </c>
      <c r="B77" t="s">
        <v>278</v>
      </c>
      <c r="C77" s="759"/>
      <c r="D77" s="561" t="s">
        <v>52</v>
      </c>
      <c r="E77" s="561" t="s">
        <v>145</v>
      </c>
      <c r="F77" s="561" t="s">
        <v>44</v>
      </c>
      <c r="G77" s="562" t="s">
        <v>60</v>
      </c>
      <c r="H77" s="563">
        <v>8815.2099999999991</v>
      </c>
      <c r="I77" s="564">
        <v>274</v>
      </c>
      <c r="J77" s="565">
        <v>32.17229927007299</v>
      </c>
      <c r="K77" s="566">
        <v>259</v>
      </c>
      <c r="L77" s="567">
        <v>5.4744525547445258E-2</v>
      </c>
      <c r="M77" s="564">
        <v>207</v>
      </c>
      <c r="N77" s="568">
        <v>0.20077220077220076</v>
      </c>
      <c r="O77" s="565">
        <v>42.585555555555551</v>
      </c>
      <c r="P77" s="564">
        <v>97</v>
      </c>
      <c r="Q77" s="569">
        <v>0.37451737451737449</v>
      </c>
      <c r="R77" s="570">
        <v>90.878453608247412</v>
      </c>
      <c r="S77" s="565" t="s">
        <v>123</v>
      </c>
      <c r="T77" s="564" t="s">
        <v>123</v>
      </c>
      <c r="U77" s="634" t="s">
        <v>123</v>
      </c>
      <c r="V77" s="566" t="s">
        <v>123</v>
      </c>
      <c r="W77" s="567" t="s">
        <v>123</v>
      </c>
      <c r="X77" s="564" t="s">
        <v>123</v>
      </c>
      <c r="Y77" s="568" t="s">
        <v>123</v>
      </c>
      <c r="Z77" s="634" t="s">
        <v>123</v>
      </c>
      <c r="AA77" s="591" t="s">
        <v>123</v>
      </c>
      <c r="AB77" s="569" t="s">
        <v>123</v>
      </c>
      <c r="AC77" s="571" t="s">
        <v>123</v>
      </c>
      <c r="AD77" s="572">
        <v>8815.2099999999991</v>
      </c>
      <c r="AE77" s="564">
        <v>274</v>
      </c>
      <c r="AF77" s="565">
        <v>32.17229927007299</v>
      </c>
      <c r="AG77" s="566">
        <v>259</v>
      </c>
      <c r="AH77" s="567">
        <v>5.4744525547445258E-2</v>
      </c>
      <c r="AI77" s="564">
        <v>207</v>
      </c>
      <c r="AJ77" s="568">
        <v>0.20077220077220076</v>
      </c>
      <c r="AK77" s="565">
        <v>42.585555555555551</v>
      </c>
      <c r="AL77" s="574">
        <v>97</v>
      </c>
      <c r="AM77" s="575">
        <v>0.37451737451737449</v>
      </c>
      <c r="AN77" s="571">
        <v>90.878453608247412</v>
      </c>
      <c r="AO77" s="635"/>
      <c r="AP77" s="575"/>
      <c r="AQ77" s="636"/>
      <c r="AR77" s="637"/>
      <c r="AS77" s="633">
        <v>2.67</v>
      </c>
      <c r="AT77" s="579"/>
      <c r="AU77" s="580"/>
    </row>
    <row r="78" spans="1:47" ht="21" hidden="1" customHeight="1">
      <c r="A78" t="s">
        <v>343</v>
      </c>
      <c r="B78" t="s">
        <v>280</v>
      </c>
      <c r="C78" s="760"/>
      <c r="D78" s="584" t="s">
        <v>40</v>
      </c>
      <c r="E78" s="584" t="s">
        <v>57</v>
      </c>
      <c r="F78" s="584" t="s">
        <v>57</v>
      </c>
      <c r="G78" s="585" t="s">
        <v>60</v>
      </c>
      <c r="H78" s="563">
        <v>13185.65</v>
      </c>
      <c r="I78" s="581">
        <v>860</v>
      </c>
      <c r="J78" s="582">
        <v>15.332151162790698</v>
      </c>
      <c r="K78" s="566">
        <v>403</v>
      </c>
      <c r="L78" s="567">
        <v>0.53139534883720929</v>
      </c>
      <c r="M78" s="564">
        <v>209</v>
      </c>
      <c r="N78" s="568">
        <v>0.4813895781637717</v>
      </c>
      <c r="O78" s="586">
        <v>63.089234449760767</v>
      </c>
      <c r="P78" s="564">
        <v>82</v>
      </c>
      <c r="Q78" s="569">
        <v>0.20347394540942929</v>
      </c>
      <c r="R78" s="570">
        <v>160.80060975609754</v>
      </c>
      <c r="S78" s="565">
        <v>13185.65</v>
      </c>
      <c r="T78" s="564">
        <v>860</v>
      </c>
      <c r="U78" s="639">
        <v>15.332151162790698</v>
      </c>
      <c r="V78" s="566">
        <v>403</v>
      </c>
      <c r="W78" s="567">
        <v>0.53139534883720929</v>
      </c>
      <c r="X78" s="564">
        <v>209</v>
      </c>
      <c r="Y78" s="568">
        <v>0.4813895781637717</v>
      </c>
      <c r="Z78" s="640">
        <v>63.089234449760767</v>
      </c>
      <c r="AA78" s="591">
        <v>82</v>
      </c>
      <c r="AB78" s="569">
        <v>0.20347394540942929</v>
      </c>
      <c r="AC78" s="571">
        <v>160.80060975609754</v>
      </c>
      <c r="AD78" s="572" t="s">
        <v>123</v>
      </c>
      <c r="AE78" s="564" t="s">
        <v>123</v>
      </c>
      <c r="AF78" s="565" t="s">
        <v>123</v>
      </c>
      <c r="AG78" s="566" t="s">
        <v>123</v>
      </c>
      <c r="AH78" s="567" t="s">
        <v>123</v>
      </c>
      <c r="AI78" s="564" t="s">
        <v>123</v>
      </c>
      <c r="AJ78" s="568" t="s">
        <v>123</v>
      </c>
      <c r="AK78" s="586" t="s">
        <v>123</v>
      </c>
      <c r="AL78" s="574" t="s">
        <v>123</v>
      </c>
      <c r="AM78" s="575" t="s">
        <v>123</v>
      </c>
      <c r="AN78" s="571" t="s">
        <v>123</v>
      </c>
      <c r="AO78" s="635"/>
      <c r="AP78" s="587"/>
      <c r="AQ78" s="636"/>
      <c r="AR78" s="641"/>
      <c r="AS78" s="633">
        <v>2.67</v>
      </c>
      <c r="AT78" s="579"/>
      <c r="AU78" s="580"/>
    </row>
    <row r="79" spans="1:47" ht="49.95" customHeight="1">
      <c r="C79" s="758" t="s">
        <v>231</v>
      </c>
      <c r="D79" s="541"/>
      <c r="E79" s="541"/>
      <c r="F79" s="541"/>
      <c r="G79" s="542" t="s">
        <v>139</v>
      </c>
      <c r="H79" s="543">
        <v>59771.419200000004</v>
      </c>
      <c r="I79" s="544">
        <v>4282</v>
      </c>
      <c r="J79" s="545">
        <v>13.958762073797292</v>
      </c>
      <c r="K79" s="546">
        <v>2147</v>
      </c>
      <c r="L79" s="547">
        <v>0.49859878561419896</v>
      </c>
      <c r="M79" s="544">
        <v>1238</v>
      </c>
      <c r="N79" s="548">
        <v>0.42338146250582209</v>
      </c>
      <c r="O79" s="549">
        <v>48.280629402261717</v>
      </c>
      <c r="P79" s="544">
        <v>474</v>
      </c>
      <c r="Q79" s="548">
        <v>0.22077317186772241</v>
      </c>
      <c r="R79" s="550">
        <v>126.10004050632912</v>
      </c>
      <c r="S79" s="545">
        <v>34045.179199999999</v>
      </c>
      <c r="T79" s="544">
        <v>3408</v>
      </c>
      <c r="U79" s="627">
        <v>9.9897826291079816</v>
      </c>
      <c r="V79" s="546">
        <v>1321</v>
      </c>
      <c r="W79" s="547">
        <v>0.61238262910798125</v>
      </c>
      <c r="X79" s="544">
        <v>600</v>
      </c>
      <c r="Y79" s="548">
        <v>0.54579863739591217</v>
      </c>
      <c r="Z79" s="628">
        <v>56.741965333333333</v>
      </c>
      <c r="AA79" s="629">
        <v>193</v>
      </c>
      <c r="AB79" s="548">
        <v>0.14610143830431491</v>
      </c>
      <c r="AC79" s="551">
        <v>176.39989222797928</v>
      </c>
      <c r="AD79" s="552">
        <v>25726.240000000002</v>
      </c>
      <c r="AE79" s="553">
        <v>874</v>
      </c>
      <c r="AF79" s="549">
        <v>29.435057208237989</v>
      </c>
      <c r="AG79" s="546">
        <v>826</v>
      </c>
      <c r="AH79" s="547">
        <v>5.4919908466819219E-2</v>
      </c>
      <c r="AI79" s="553">
        <v>638</v>
      </c>
      <c r="AJ79" s="548">
        <v>0.22760290556900725</v>
      </c>
      <c r="AK79" s="549">
        <v>40.323260188087779</v>
      </c>
      <c r="AL79" s="554">
        <v>281</v>
      </c>
      <c r="AM79" s="643">
        <v>0.34019370460048426</v>
      </c>
      <c r="AN79" s="551">
        <v>91.552455516014234</v>
      </c>
      <c r="AO79" s="630">
        <v>0.87949999999999995</v>
      </c>
      <c r="AP79" s="555">
        <v>0.76519999999999999</v>
      </c>
      <c r="AQ79" s="631">
        <v>0.79520000000000002</v>
      </c>
      <c r="AR79" s="632">
        <v>0.81330000000000002</v>
      </c>
      <c r="AS79" s="633">
        <v>2.67</v>
      </c>
      <c r="AT79" s="583" t="s">
        <v>232</v>
      </c>
      <c r="AU79" s="580"/>
    </row>
    <row r="80" spans="1:47" ht="21" hidden="1" customHeight="1">
      <c r="A80" t="s">
        <v>344</v>
      </c>
      <c r="B80" t="s">
        <v>268</v>
      </c>
      <c r="C80" s="759"/>
      <c r="D80" s="561" t="s">
        <v>40</v>
      </c>
      <c r="E80" s="561" t="s">
        <v>142</v>
      </c>
      <c r="F80" s="561" t="s">
        <v>44</v>
      </c>
      <c r="G80" s="562" t="s">
        <v>42</v>
      </c>
      <c r="H80" s="563">
        <v>1898.91</v>
      </c>
      <c r="I80" s="564">
        <v>105</v>
      </c>
      <c r="J80" s="565">
        <v>18.084857142857143</v>
      </c>
      <c r="K80" s="566">
        <v>105</v>
      </c>
      <c r="L80" s="567">
        <v>0</v>
      </c>
      <c r="M80" s="564">
        <v>77</v>
      </c>
      <c r="N80" s="568">
        <v>0.26666666666666666</v>
      </c>
      <c r="O80" s="565">
        <v>24.661168831168833</v>
      </c>
      <c r="P80" s="564">
        <v>41</v>
      </c>
      <c r="Q80" s="569">
        <v>0.39047619047619048</v>
      </c>
      <c r="R80" s="570">
        <v>46.314878048780493</v>
      </c>
      <c r="S80" s="565" t="s">
        <v>123</v>
      </c>
      <c r="T80" s="564" t="s">
        <v>123</v>
      </c>
      <c r="U80" s="634" t="s">
        <v>123</v>
      </c>
      <c r="V80" s="566" t="s">
        <v>123</v>
      </c>
      <c r="W80" s="567" t="s">
        <v>123</v>
      </c>
      <c r="X80" s="564" t="s">
        <v>123</v>
      </c>
      <c r="Y80" s="568" t="s">
        <v>123</v>
      </c>
      <c r="Z80" s="634" t="s">
        <v>123</v>
      </c>
      <c r="AA80" s="591" t="s">
        <v>123</v>
      </c>
      <c r="AB80" s="569" t="s">
        <v>123</v>
      </c>
      <c r="AC80" s="571" t="s">
        <v>123</v>
      </c>
      <c r="AD80" s="563">
        <v>1898.91</v>
      </c>
      <c r="AE80" s="564">
        <v>105</v>
      </c>
      <c r="AF80" s="565">
        <v>18.084857142857143</v>
      </c>
      <c r="AG80" s="566">
        <v>105</v>
      </c>
      <c r="AH80" s="567">
        <v>0</v>
      </c>
      <c r="AI80" s="564">
        <v>77</v>
      </c>
      <c r="AJ80" s="568">
        <v>0.26666666666666666</v>
      </c>
      <c r="AK80" s="565">
        <v>24.661168831168833</v>
      </c>
      <c r="AL80" s="591">
        <v>41</v>
      </c>
      <c r="AM80" s="569">
        <v>0.39047619047619048</v>
      </c>
      <c r="AN80" s="571">
        <v>46.314878048780493</v>
      </c>
      <c r="AO80" s="635"/>
      <c r="AP80" s="575"/>
      <c r="AQ80" s="636"/>
      <c r="AR80" s="637"/>
      <c r="AS80" s="638"/>
      <c r="AT80" s="579"/>
      <c r="AU80" s="580"/>
    </row>
    <row r="81" spans="1:47" ht="21" hidden="1" customHeight="1">
      <c r="A81" t="s">
        <v>345</v>
      </c>
      <c r="B81" t="s">
        <v>270</v>
      </c>
      <c r="C81" s="759"/>
      <c r="D81" s="561" t="s">
        <v>52</v>
      </c>
      <c r="E81" s="561" t="s">
        <v>145</v>
      </c>
      <c r="F81" s="561" t="s">
        <v>44</v>
      </c>
      <c r="G81" s="562" t="s">
        <v>42</v>
      </c>
      <c r="H81" s="563">
        <v>1879.52</v>
      </c>
      <c r="I81" s="564">
        <v>109</v>
      </c>
      <c r="J81" s="565">
        <v>17.243302752293577</v>
      </c>
      <c r="K81" s="566">
        <v>122</v>
      </c>
      <c r="L81" s="567">
        <v>-0.11926605504587157</v>
      </c>
      <c r="M81" s="564">
        <v>89</v>
      </c>
      <c r="N81" s="568">
        <v>0.27049180327868855</v>
      </c>
      <c r="O81" s="565">
        <v>21.118202247191011</v>
      </c>
      <c r="P81" s="564">
        <v>33</v>
      </c>
      <c r="Q81" s="569">
        <v>0.27049180327868855</v>
      </c>
      <c r="R81" s="570">
        <v>56.955151515151513</v>
      </c>
      <c r="S81" s="565" t="s">
        <v>123</v>
      </c>
      <c r="T81" s="564" t="s">
        <v>123</v>
      </c>
      <c r="U81" s="634" t="s">
        <v>123</v>
      </c>
      <c r="V81" s="566" t="s">
        <v>123</v>
      </c>
      <c r="W81" s="567" t="s">
        <v>123</v>
      </c>
      <c r="X81" s="564" t="s">
        <v>123</v>
      </c>
      <c r="Y81" s="568" t="s">
        <v>123</v>
      </c>
      <c r="Z81" s="634" t="s">
        <v>123</v>
      </c>
      <c r="AA81" s="591" t="s">
        <v>123</v>
      </c>
      <c r="AB81" s="569" t="s">
        <v>123</v>
      </c>
      <c r="AC81" s="571" t="s">
        <v>123</v>
      </c>
      <c r="AD81" s="563">
        <v>1879.52</v>
      </c>
      <c r="AE81" s="564">
        <v>109</v>
      </c>
      <c r="AF81" s="565">
        <v>17.243302752293577</v>
      </c>
      <c r="AG81" s="566">
        <v>122</v>
      </c>
      <c r="AH81" s="567">
        <v>-0.11926605504587157</v>
      </c>
      <c r="AI81" s="564">
        <v>89</v>
      </c>
      <c r="AJ81" s="568">
        <v>0.27049180327868855</v>
      </c>
      <c r="AK81" s="565">
        <v>21.118202247191011</v>
      </c>
      <c r="AL81" s="591">
        <v>33</v>
      </c>
      <c r="AM81" s="569">
        <v>0.27049180327868855</v>
      </c>
      <c r="AN81" s="571">
        <v>56.955151515151513</v>
      </c>
      <c r="AO81" s="635"/>
      <c r="AP81" s="575"/>
      <c r="AQ81" s="636"/>
      <c r="AR81" s="637"/>
      <c r="AS81" s="638"/>
      <c r="AT81" s="579"/>
      <c r="AU81" s="580"/>
    </row>
    <row r="82" spans="1:47" ht="21" hidden="1" customHeight="1">
      <c r="A82" t="s">
        <v>346</v>
      </c>
      <c r="B82" t="s">
        <v>272</v>
      </c>
      <c r="C82" s="759"/>
      <c r="D82" s="561" t="s">
        <v>40</v>
      </c>
      <c r="E82" s="561" t="s">
        <v>57</v>
      </c>
      <c r="F82" s="561" t="s">
        <v>57</v>
      </c>
      <c r="G82" s="562" t="s">
        <v>42</v>
      </c>
      <c r="H82" s="563">
        <v>2217.54</v>
      </c>
      <c r="I82" s="564">
        <v>126</v>
      </c>
      <c r="J82" s="565">
        <v>17.599523809523809</v>
      </c>
      <c r="K82" s="566">
        <v>50</v>
      </c>
      <c r="L82" s="567">
        <v>0.60317460317460314</v>
      </c>
      <c r="M82" s="564">
        <v>17</v>
      </c>
      <c r="N82" s="568">
        <v>0.66</v>
      </c>
      <c r="O82" s="565">
        <v>130.4435294117647</v>
      </c>
      <c r="P82" s="564">
        <v>4</v>
      </c>
      <c r="Q82" s="569">
        <v>0.08</v>
      </c>
      <c r="R82" s="570">
        <v>554.38499999999999</v>
      </c>
      <c r="S82" s="565">
        <v>2217.54</v>
      </c>
      <c r="T82" s="564">
        <v>126</v>
      </c>
      <c r="U82" s="634">
        <v>17.599523809523809</v>
      </c>
      <c r="V82" s="566">
        <v>50</v>
      </c>
      <c r="W82" s="567">
        <v>0.60317460317460314</v>
      </c>
      <c r="X82" s="564">
        <v>17</v>
      </c>
      <c r="Y82" s="568">
        <v>0.66</v>
      </c>
      <c r="Z82" s="634">
        <v>130.4435294117647</v>
      </c>
      <c r="AA82" s="591">
        <v>4</v>
      </c>
      <c r="AB82" s="569">
        <v>0.08</v>
      </c>
      <c r="AC82" s="571">
        <v>554.38499999999999</v>
      </c>
      <c r="AD82" s="563" t="s">
        <v>123</v>
      </c>
      <c r="AE82" s="564" t="s">
        <v>123</v>
      </c>
      <c r="AF82" s="565" t="s">
        <v>123</v>
      </c>
      <c r="AG82" s="566" t="s">
        <v>123</v>
      </c>
      <c r="AH82" s="567" t="s">
        <v>123</v>
      </c>
      <c r="AI82" s="564" t="s">
        <v>123</v>
      </c>
      <c r="AJ82" s="568" t="s">
        <v>123</v>
      </c>
      <c r="AK82" s="565" t="s">
        <v>123</v>
      </c>
      <c r="AL82" s="591" t="s">
        <v>123</v>
      </c>
      <c r="AM82" s="569" t="s">
        <v>123</v>
      </c>
      <c r="AN82" s="571" t="s">
        <v>123</v>
      </c>
      <c r="AO82" s="635"/>
      <c r="AP82" s="575"/>
      <c r="AQ82" s="636"/>
      <c r="AR82" s="637"/>
      <c r="AS82" s="638"/>
      <c r="AT82" s="579"/>
      <c r="AU82" s="580"/>
    </row>
    <row r="83" spans="1:47" ht="21" hidden="1" customHeight="1">
      <c r="A83" t="s">
        <v>347</v>
      </c>
      <c r="B83" t="s">
        <v>274</v>
      </c>
      <c r="C83" s="759"/>
      <c r="D83" s="561" t="s">
        <v>52</v>
      </c>
      <c r="E83" s="561" t="s">
        <v>121</v>
      </c>
      <c r="F83" s="561" t="s">
        <v>44</v>
      </c>
      <c r="G83" s="562" t="s">
        <v>42</v>
      </c>
      <c r="H83" s="563">
        <v>978.69</v>
      </c>
      <c r="I83" s="564">
        <v>7</v>
      </c>
      <c r="J83" s="565">
        <v>139.81285714285715</v>
      </c>
      <c r="K83" s="566">
        <v>6</v>
      </c>
      <c r="L83" s="567">
        <v>0.14285714285714285</v>
      </c>
      <c r="M83" s="564">
        <v>5</v>
      </c>
      <c r="N83" s="568">
        <v>0.16666666666666666</v>
      </c>
      <c r="O83" s="565">
        <v>195.738</v>
      </c>
      <c r="P83" s="564">
        <v>3</v>
      </c>
      <c r="Q83" s="569">
        <v>0.5</v>
      </c>
      <c r="R83" s="570">
        <v>326.23</v>
      </c>
      <c r="S83" s="565" t="s">
        <v>123</v>
      </c>
      <c r="T83" s="564" t="s">
        <v>123</v>
      </c>
      <c r="U83" s="634" t="s">
        <v>123</v>
      </c>
      <c r="V83" s="566" t="s">
        <v>123</v>
      </c>
      <c r="W83" s="567" t="s">
        <v>123</v>
      </c>
      <c r="X83" s="564" t="s">
        <v>123</v>
      </c>
      <c r="Y83" s="568" t="s">
        <v>123</v>
      </c>
      <c r="Z83" s="634" t="s">
        <v>123</v>
      </c>
      <c r="AA83" s="591" t="s">
        <v>123</v>
      </c>
      <c r="AB83" s="569" t="s">
        <v>123</v>
      </c>
      <c r="AC83" s="571" t="s">
        <v>123</v>
      </c>
      <c r="AD83" s="563">
        <v>978.69</v>
      </c>
      <c r="AE83" s="564">
        <v>7</v>
      </c>
      <c r="AF83" s="565">
        <v>139.81285714285715</v>
      </c>
      <c r="AG83" s="566">
        <v>6</v>
      </c>
      <c r="AH83" s="567">
        <v>0.14285714285714285</v>
      </c>
      <c r="AI83" s="564">
        <v>5</v>
      </c>
      <c r="AJ83" s="568">
        <v>0.16666666666666666</v>
      </c>
      <c r="AK83" s="565">
        <v>195.738</v>
      </c>
      <c r="AL83" s="591">
        <v>3</v>
      </c>
      <c r="AM83" s="569">
        <v>0.5</v>
      </c>
      <c r="AN83" s="571">
        <v>326.23</v>
      </c>
      <c r="AO83" s="635"/>
      <c r="AP83" s="575"/>
      <c r="AQ83" s="636"/>
      <c r="AR83" s="637"/>
      <c r="AS83" s="638"/>
      <c r="AT83" s="579"/>
      <c r="AU83" s="580"/>
    </row>
    <row r="84" spans="1:47" ht="21" hidden="1" customHeight="1">
      <c r="A84" t="s">
        <v>348</v>
      </c>
      <c r="B84" t="s">
        <v>276</v>
      </c>
      <c r="C84" s="759"/>
      <c r="D84" s="561" t="s">
        <v>40</v>
      </c>
      <c r="E84" s="561" t="s">
        <v>142</v>
      </c>
      <c r="F84" s="561" t="s">
        <v>44</v>
      </c>
      <c r="G84" s="562" t="s">
        <v>60</v>
      </c>
      <c r="H84" s="563">
        <v>6614.52</v>
      </c>
      <c r="I84" s="564">
        <v>235</v>
      </c>
      <c r="J84" s="565">
        <v>28.146893617021277</v>
      </c>
      <c r="K84" s="566">
        <v>200</v>
      </c>
      <c r="L84" s="567">
        <v>0.14893617021276595</v>
      </c>
      <c r="M84" s="564">
        <v>151</v>
      </c>
      <c r="N84" s="568">
        <v>0.245</v>
      </c>
      <c r="O84" s="565">
        <v>43.804768211920532</v>
      </c>
      <c r="P84" s="564">
        <v>58</v>
      </c>
      <c r="Q84" s="569">
        <v>0.28999999999999998</v>
      </c>
      <c r="R84" s="570">
        <v>114.04344827586208</v>
      </c>
      <c r="S84" s="565" t="s">
        <v>123</v>
      </c>
      <c r="T84" s="564" t="s">
        <v>123</v>
      </c>
      <c r="U84" s="634" t="s">
        <v>123</v>
      </c>
      <c r="V84" s="566" t="s">
        <v>123</v>
      </c>
      <c r="W84" s="567" t="s">
        <v>123</v>
      </c>
      <c r="X84" s="564" t="s">
        <v>123</v>
      </c>
      <c r="Y84" s="568" t="s">
        <v>123</v>
      </c>
      <c r="Z84" s="634" t="s">
        <v>123</v>
      </c>
      <c r="AA84" s="591" t="s">
        <v>123</v>
      </c>
      <c r="AB84" s="569" t="s">
        <v>123</v>
      </c>
      <c r="AC84" s="571" t="s">
        <v>123</v>
      </c>
      <c r="AD84" s="563">
        <v>6614.52</v>
      </c>
      <c r="AE84" s="564">
        <v>235</v>
      </c>
      <c r="AF84" s="565">
        <v>28.146893617021277</v>
      </c>
      <c r="AG84" s="566">
        <v>200</v>
      </c>
      <c r="AH84" s="567">
        <v>0.14893617021276595</v>
      </c>
      <c r="AI84" s="564">
        <v>151</v>
      </c>
      <c r="AJ84" s="568">
        <v>0.245</v>
      </c>
      <c r="AK84" s="565">
        <v>43.804768211920532</v>
      </c>
      <c r="AL84" s="591">
        <v>58</v>
      </c>
      <c r="AM84" s="569">
        <v>0.28999999999999998</v>
      </c>
      <c r="AN84" s="571">
        <v>114.04344827586208</v>
      </c>
      <c r="AO84" s="635"/>
      <c r="AP84" s="575"/>
      <c r="AQ84" s="636"/>
      <c r="AR84" s="637"/>
      <c r="AS84" s="638"/>
      <c r="AT84" s="579"/>
      <c r="AU84" s="580"/>
    </row>
    <row r="85" spans="1:47" ht="21" hidden="1" customHeight="1">
      <c r="A85" t="s">
        <v>349</v>
      </c>
      <c r="B85" t="s">
        <v>278</v>
      </c>
      <c r="C85" s="759"/>
      <c r="D85" s="561" t="s">
        <v>52</v>
      </c>
      <c r="E85" s="561" t="s">
        <v>145</v>
      </c>
      <c r="F85" s="561" t="s">
        <v>44</v>
      </c>
      <c r="G85" s="562" t="s">
        <v>60</v>
      </c>
      <c r="H85" s="563">
        <v>14354.6</v>
      </c>
      <c r="I85" s="564">
        <v>418</v>
      </c>
      <c r="J85" s="565">
        <v>34.341148325358851</v>
      </c>
      <c r="K85" s="566">
        <v>393</v>
      </c>
      <c r="L85" s="567">
        <v>5.9808612440191387E-2</v>
      </c>
      <c r="M85" s="564">
        <v>316</v>
      </c>
      <c r="N85" s="568">
        <v>0.19592875318066158</v>
      </c>
      <c r="O85" s="565">
        <v>45.425949367088606</v>
      </c>
      <c r="P85" s="564">
        <v>146</v>
      </c>
      <c r="Q85" s="569">
        <v>0.37150127226463103</v>
      </c>
      <c r="R85" s="570">
        <v>98.319178082191783</v>
      </c>
      <c r="S85" s="565" t="s">
        <v>123</v>
      </c>
      <c r="T85" s="564" t="s">
        <v>123</v>
      </c>
      <c r="U85" s="634" t="s">
        <v>123</v>
      </c>
      <c r="V85" s="566" t="s">
        <v>123</v>
      </c>
      <c r="W85" s="567" t="s">
        <v>123</v>
      </c>
      <c r="X85" s="564" t="s">
        <v>123</v>
      </c>
      <c r="Y85" s="568" t="s">
        <v>123</v>
      </c>
      <c r="Z85" s="634" t="s">
        <v>123</v>
      </c>
      <c r="AA85" s="591" t="s">
        <v>123</v>
      </c>
      <c r="AB85" s="569" t="s">
        <v>123</v>
      </c>
      <c r="AC85" s="571" t="s">
        <v>123</v>
      </c>
      <c r="AD85" s="563">
        <v>14354.6</v>
      </c>
      <c r="AE85" s="564">
        <v>418</v>
      </c>
      <c r="AF85" s="565">
        <v>34.341148325358851</v>
      </c>
      <c r="AG85" s="566">
        <v>393</v>
      </c>
      <c r="AH85" s="567">
        <v>5.9808612440191387E-2</v>
      </c>
      <c r="AI85" s="564">
        <v>316</v>
      </c>
      <c r="AJ85" s="568">
        <v>0.19592875318066158</v>
      </c>
      <c r="AK85" s="565">
        <v>45.425949367088606</v>
      </c>
      <c r="AL85" s="591">
        <v>146</v>
      </c>
      <c r="AM85" s="569">
        <v>0.37150127226463103</v>
      </c>
      <c r="AN85" s="571">
        <v>98.319178082191783</v>
      </c>
      <c r="AO85" s="635"/>
      <c r="AP85" s="575"/>
      <c r="AQ85" s="636"/>
      <c r="AR85" s="637"/>
      <c r="AS85" s="638"/>
      <c r="AT85" s="579"/>
      <c r="AU85" s="580"/>
    </row>
    <row r="86" spans="1:47" ht="21" hidden="1" customHeight="1">
      <c r="A86" t="s">
        <v>350</v>
      </c>
      <c r="B86" t="s">
        <v>280</v>
      </c>
      <c r="C86" s="760"/>
      <c r="D86" s="584" t="s">
        <v>40</v>
      </c>
      <c r="E86" s="584" t="s">
        <v>57</v>
      </c>
      <c r="F86" s="584" t="s">
        <v>57</v>
      </c>
      <c r="G86" s="585" t="s">
        <v>60</v>
      </c>
      <c r="H86" s="563">
        <v>31827.639200000001</v>
      </c>
      <c r="I86" s="581">
        <v>3282</v>
      </c>
      <c r="J86" s="582">
        <v>9.697635344302256</v>
      </c>
      <c r="K86" s="566">
        <v>1271</v>
      </c>
      <c r="L86" s="567">
        <v>0.61273613650213288</v>
      </c>
      <c r="M86" s="564">
        <v>583</v>
      </c>
      <c r="N86" s="568">
        <v>0.5413060582218725</v>
      </c>
      <c r="O86" s="586">
        <v>54.592863121783878</v>
      </c>
      <c r="P86" s="564">
        <v>189</v>
      </c>
      <c r="Q86" s="569">
        <v>0.14870180959874116</v>
      </c>
      <c r="R86" s="570">
        <v>168.40020740740741</v>
      </c>
      <c r="S86" s="565">
        <v>31827.639200000001</v>
      </c>
      <c r="T86" s="564">
        <v>3282</v>
      </c>
      <c r="U86" s="639">
        <v>9.697635344302256</v>
      </c>
      <c r="V86" s="566">
        <v>1271</v>
      </c>
      <c r="W86" s="567">
        <v>0.61273613650213288</v>
      </c>
      <c r="X86" s="564">
        <v>583</v>
      </c>
      <c r="Y86" s="568">
        <v>0.5413060582218725</v>
      </c>
      <c r="Z86" s="640">
        <v>54.592863121783878</v>
      </c>
      <c r="AA86" s="591">
        <v>189</v>
      </c>
      <c r="AB86" s="569">
        <v>0.14870180959874116</v>
      </c>
      <c r="AC86" s="571">
        <v>168.40020740740741</v>
      </c>
      <c r="AD86" s="563" t="s">
        <v>123</v>
      </c>
      <c r="AE86" s="564" t="s">
        <v>123</v>
      </c>
      <c r="AF86" s="565" t="s">
        <v>123</v>
      </c>
      <c r="AG86" s="566" t="s">
        <v>123</v>
      </c>
      <c r="AH86" s="567" t="s">
        <v>123</v>
      </c>
      <c r="AI86" s="564" t="s">
        <v>123</v>
      </c>
      <c r="AJ86" s="568" t="s">
        <v>123</v>
      </c>
      <c r="AK86" s="586" t="s">
        <v>123</v>
      </c>
      <c r="AL86" s="591" t="s">
        <v>123</v>
      </c>
      <c r="AM86" s="569" t="s">
        <v>123</v>
      </c>
      <c r="AN86" s="571" t="s">
        <v>123</v>
      </c>
      <c r="AO86" s="635"/>
      <c r="AP86" s="587"/>
      <c r="AQ86" s="636"/>
      <c r="AR86" s="641"/>
      <c r="AS86" s="638"/>
      <c r="AT86" s="579"/>
      <c r="AU86" s="580"/>
    </row>
    <row r="87" spans="1:47" ht="49.95" customHeight="1">
      <c r="C87" s="758" t="s">
        <v>571</v>
      </c>
      <c r="D87" s="541"/>
      <c r="E87" s="541"/>
      <c r="F87" s="541"/>
      <c r="G87" s="542" t="s">
        <v>139</v>
      </c>
      <c r="H87" s="543">
        <v>447315.45</v>
      </c>
      <c r="I87" s="544">
        <v>34193</v>
      </c>
      <c r="J87" s="545">
        <v>13.082076740853392</v>
      </c>
      <c r="K87" s="546">
        <v>16348</v>
      </c>
      <c r="L87" s="547">
        <v>0.52189044541280383</v>
      </c>
      <c r="M87" s="544">
        <v>6001</v>
      </c>
      <c r="N87" s="548">
        <v>0.63292145828235868</v>
      </c>
      <c r="O87" s="549">
        <v>74.540151641393109</v>
      </c>
      <c r="P87" s="544">
        <v>1249</v>
      </c>
      <c r="Q87" s="548">
        <v>7.6400782970393932E-2</v>
      </c>
      <c r="R87" s="550">
        <v>358.13887109687749</v>
      </c>
      <c r="S87" s="718">
        <v>412575.22000000003</v>
      </c>
      <c r="T87" s="719">
        <v>32986</v>
      </c>
      <c r="U87" s="720">
        <v>12.507585642393744</v>
      </c>
      <c r="V87" s="721">
        <v>15200</v>
      </c>
      <c r="W87" s="722">
        <v>0.53919844782635062</v>
      </c>
      <c r="X87" s="719">
        <v>5107</v>
      </c>
      <c r="Y87" s="723">
        <v>0.66401315789473681</v>
      </c>
      <c r="Z87" s="724">
        <v>80.78621891521442</v>
      </c>
      <c r="AA87" s="725">
        <v>848</v>
      </c>
      <c r="AB87" s="723">
        <v>5.5789473684210528E-2</v>
      </c>
      <c r="AC87" s="726">
        <v>486.52738207547173</v>
      </c>
      <c r="AD87" s="552">
        <v>34740.229999999996</v>
      </c>
      <c r="AE87" s="553">
        <v>1207</v>
      </c>
      <c r="AF87" s="549">
        <v>28.78229494614747</v>
      </c>
      <c r="AG87" s="546">
        <v>1148</v>
      </c>
      <c r="AH87" s="547">
        <v>4.8881524440762221E-2</v>
      </c>
      <c r="AI87" s="553">
        <v>894</v>
      </c>
      <c r="AJ87" s="548">
        <v>0.22125435540069685</v>
      </c>
      <c r="AK87" s="549">
        <v>38.859317673378072</v>
      </c>
      <c r="AL87" s="554">
        <v>401</v>
      </c>
      <c r="AM87" s="548">
        <v>0.34930313588850176</v>
      </c>
      <c r="AN87" s="551">
        <v>86.633990024937646</v>
      </c>
      <c r="AO87" s="630">
        <v>0.91830000000000001</v>
      </c>
      <c r="AP87" s="555">
        <v>0.78569999999999995</v>
      </c>
      <c r="AQ87" s="631">
        <v>0.82420000000000004</v>
      </c>
      <c r="AR87" s="632">
        <v>0.82620000000000005</v>
      </c>
      <c r="AS87" s="633">
        <v>3.47</v>
      </c>
      <c r="AT87" s="583" t="s">
        <v>240</v>
      </c>
      <c r="AU87" s="589" t="s">
        <v>241</v>
      </c>
    </row>
    <row r="88" spans="1:47" ht="21" hidden="1" customHeight="1">
      <c r="A88" t="s">
        <v>268</v>
      </c>
      <c r="B88" t="s">
        <v>268</v>
      </c>
      <c r="C88" s="759"/>
      <c r="D88" s="561" t="s">
        <v>40</v>
      </c>
      <c r="E88" s="561" t="s">
        <v>142</v>
      </c>
      <c r="F88" s="561" t="s">
        <v>44</v>
      </c>
      <c r="G88" s="562" t="s">
        <v>42</v>
      </c>
      <c r="H88" s="563">
        <v>3101.52</v>
      </c>
      <c r="I88" s="564">
        <v>175</v>
      </c>
      <c r="J88" s="565">
        <v>17.72297142857143</v>
      </c>
      <c r="K88" s="566">
        <v>173</v>
      </c>
      <c r="L88" s="567">
        <v>1.1428571428571429E-2</v>
      </c>
      <c r="M88" s="564">
        <v>132</v>
      </c>
      <c r="N88" s="568">
        <v>0.23699421965317918</v>
      </c>
      <c r="O88" s="565">
        <v>23.496363636363636</v>
      </c>
      <c r="P88" s="564">
        <v>69</v>
      </c>
      <c r="Q88" s="569">
        <v>0.39884393063583817</v>
      </c>
      <c r="R88" s="570">
        <v>44.949565217391303</v>
      </c>
      <c r="S88" s="565" t="s">
        <v>123</v>
      </c>
      <c r="T88" s="564" t="s">
        <v>123</v>
      </c>
      <c r="U88" s="634" t="s">
        <v>123</v>
      </c>
      <c r="V88" s="566" t="s">
        <v>123</v>
      </c>
      <c r="W88" s="567" t="s">
        <v>123</v>
      </c>
      <c r="X88" s="564" t="s">
        <v>123</v>
      </c>
      <c r="Y88" s="568" t="s">
        <v>123</v>
      </c>
      <c r="Z88" s="634" t="s">
        <v>123</v>
      </c>
      <c r="AA88" s="591" t="s">
        <v>123</v>
      </c>
      <c r="AB88" s="569" t="s">
        <v>123</v>
      </c>
      <c r="AC88" s="571" t="s">
        <v>123</v>
      </c>
      <c r="AD88" s="563">
        <v>3101.52</v>
      </c>
      <c r="AE88" s="564">
        <v>175</v>
      </c>
      <c r="AF88" s="565">
        <v>17.72297142857143</v>
      </c>
      <c r="AG88" s="566">
        <v>173</v>
      </c>
      <c r="AH88" s="567">
        <v>1.1428571428571429E-2</v>
      </c>
      <c r="AI88" s="564">
        <v>132</v>
      </c>
      <c r="AJ88" s="568">
        <v>0.23699421965317918</v>
      </c>
      <c r="AK88" s="565">
        <v>23.496363636363636</v>
      </c>
      <c r="AL88" s="591">
        <v>69</v>
      </c>
      <c r="AM88" s="569">
        <v>0.39884393063583817</v>
      </c>
      <c r="AN88" s="571">
        <v>44.949565217391303</v>
      </c>
      <c r="AO88" s="635"/>
      <c r="AP88" s="575"/>
      <c r="AQ88" s="636"/>
      <c r="AR88" s="637"/>
      <c r="AS88" s="638"/>
      <c r="AT88" s="579"/>
      <c r="AU88" s="580"/>
    </row>
    <row r="89" spans="1:47" ht="21" hidden="1" customHeight="1">
      <c r="A89" t="s">
        <v>270</v>
      </c>
      <c r="B89" t="s">
        <v>270</v>
      </c>
      <c r="C89" s="759"/>
      <c r="D89" s="561" t="s">
        <v>52</v>
      </c>
      <c r="E89" s="561" t="s">
        <v>145</v>
      </c>
      <c r="F89" s="561" t="s">
        <v>44</v>
      </c>
      <c r="G89" s="562" t="s">
        <v>42</v>
      </c>
      <c r="H89" s="563">
        <v>4843.99</v>
      </c>
      <c r="I89" s="564">
        <v>264</v>
      </c>
      <c r="J89" s="565">
        <v>18.348446969696969</v>
      </c>
      <c r="K89" s="566">
        <v>237</v>
      </c>
      <c r="L89" s="567">
        <v>0.10227272727272728</v>
      </c>
      <c r="M89" s="564">
        <v>190</v>
      </c>
      <c r="N89" s="568">
        <v>0.19831223628691982</v>
      </c>
      <c r="O89" s="565">
        <v>25.494684210526316</v>
      </c>
      <c r="P89" s="564">
        <v>78</v>
      </c>
      <c r="Q89" s="569">
        <v>0.32911392405063289</v>
      </c>
      <c r="R89" s="570">
        <v>62.102435897435896</v>
      </c>
      <c r="S89" s="565" t="s">
        <v>123</v>
      </c>
      <c r="T89" s="564" t="s">
        <v>123</v>
      </c>
      <c r="U89" s="634" t="s">
        <v>123</v>
      </c>
      <c r="V89" s="566" t="s">
        <v>123</v>
      </c>
      <c r="W89" s="567" t="s">
        <v>123</v>
      </c>
      <c r="X89" s="564" t="s">
        <v>123</v>
      </c>
      <c r="Y89" s="568" t="s">
        <v>123</v>
      </c>
      <c r="Z89" s="634" t="s">
        <v>123</v>
      </c>
      <c r="AA89" s="591" t="s">
        <v>123</v>
      </c>
      <c r="AB89" s="569" t="s">
        <v>123</v>
      </c>
      <c r="AC89" s="571" t="s">
        <v>123</v>
      </c>
      <c r="AD89" s="563">
        <v>4843.99</v>
      </c>
      <c r="AE89" s="564">
        <v>264</v>
      </c>
      <c r="AF89" s="565">
        <v>18.348446969696969</v>
      </c>
      <c r="AG89" s="566">
        <v>237</v>
      </c>
      <c r="AH89" s="567">
        <v>0.10227272727272728</v>
      </c>
      <c r="AI89" s="564">
        <v>190</v>
      </c>
      <c r="AJ89" s="568">
        <v>0.19831223628691982</v>
      </c>
      <c r="AK89" s="565">
        <v>25.494684210526316</v>
      </c>
      <c r="AL89" s="591">
        <v>78</v>
      </c>
      <c r="AM89" s="569">
        <v>0.32911392405063289</v>
      </c>
      <c r="AN89" s="571">
        <v>62.102435897435896</v>
      </c>
      <c r="AO89" s="635"/>
      <c r="AP89" s="575"/>
      <c r="AQ89" s="636"/>
      <c r="AR89" s="637"/>
      <c r="AS89" s="638"/>
      <c r="AT89" s="579"/>
      <c r="AU89" s="580"/>
    </row>
    <row r="90" spans="1:47" ht="21" hidden="1" customHeight="1">
      <c r="A90" t="s">
        <v>272</v>
      </c>
      <c r="B90" t="s">
        <v>272</v>
      </c>
      <c r="C90" s="759"/>
      <c r="D90" s="561" t="s">
        <v>40</v>
      </c>
      <c r="E90" s="561" t="s">
        <v>57</v>
      </c>
      <c r="F90" s="561" t="s">
        <v>57</v>
      </c>
      <c r="G90" s="562" t="s">
        <v>42</v>
      </c>
      <c r="H90" s="563">
        <v>96.95</v>
      </c>
      <c r="I90" s="564">
        <v>13</v>
      </c>
      <c r="J90" s="565">
        <v>7.4576923076923078</v>
      </c>
      <c r="K90" s="566">
        <v>7</v>
      </c>
      <c r="L90" s="567">
        <v>0.46153846153846156</v>
      </c>
      <c r="M90" s="564">
        <v>2</v>
      </c>
      <c r="N90" s="568">
        <v>0.7142857142857143</v>
      </c>
      <c r="O90" s="565">
        <v>48.475000000000001</v>
      </c>
      <c r="P90" s="564">
        <v>0</v>
      </c>
      <c r="Q90" s="569">
        <v>0</v>
      </c>
      <c r="R90" s="570" t="s">
        <v>123</v>
      </c>
      <c r="S90" s="565">
        <v>96.95</v>
      </c>
      <c r="T90" s="564">
        <v>13</v>
      </c>
      <c r="U90" s="634">
        <v>7.4576923076923078</v>
      </c>
      <c r="V90" s="566">
        <v>7</v>
      </c>
      <c r="W90" s="567">
        <v>0.46153846153846156</v>
      </c>
      <c r="X90" s="564">
        <v>2</v>
      </c>
      <c r="Y90" s="568">
        <v>0.7142857142857143</v>
      </c>
      <c r="Z90" s="634">
        <v>48.475000000000001</v>
      </c>
      <c r="AA90" s="591">
        <v>0</v>
      </c>
      <c r="AB90" s="569">
        <v>0</v>
      </c>
      <c r="AC90" s="571" t="s">
        <v>123</v>
      </c>
      <c r="AD90" s="563" t="s">
        <v>123</v>
      </c>
      <c r="AE90" s="564" t="s">
        <v>123</v>
      </c>
      <c r="AF90" s="565" t="s">
        <v>123</v>
      </c>
      <c r="AG90" s="566" t="s">
        <v>123</v>
      </c>
      <c r="AH90" s="567" t="s">
        <v>123</v>
      </c>
      <c r="AI90" s="564" t="s">
        <v>123</v>
      </c>
      <c r="AJ90" s="568" t="s">
        <v>123</v>
      </c>
      <c r="AK90" s="565" t="s">
        <v>123</v>
      </c>
      <c r="AL90" s="591" t="s">
        <v>123</v>
      </c>
      <c r="AM90" s="569" t="s">
        <v>123</v>
      </c>
      <c r="AN90" s="571" t="s">
        <v>123</v>
      </c>
      <c r="AO90" s="635"/>
      <c r="AP90" s="575"/>
      <c r="AQ90" s="636"/>
      <c r="AR90" s="637"/>
      <c r="AS90" s="638"/>
      <c r="AT90" s="579"/>
      <c r="AU90" s="580"/>
    </row>
    <row r="91" spans="1:47" ht="21" hidden="1" customHeight="1">
      <c r="A91" t="s">
        <v>274</v>
      </c>
      <c r="B91" t="s">
        <v>274</v>
      </c>
      <c r="C91" s="759"/>
      <c r="D91" s="561" t="s">
        <v>52</v>
      </c>
      <c r="E91" s="561" t="s">
        <v>121</v>
      </c>
      <c r="F91" s="561" t="s">
        <v>44</v>
      </c>
      <c r="G91" s="562" t="s">
        <v>42</v>
      </c>
      <c r="H91" s="563">
        <v>654.75</v>
      </c>
      <c r="I91" s="564">
        <v>4</v>
      </c>
      <c r="J91" s="565">
        <v>163.6875</v>
      </c>
      <c r="K91" s="566">
        <v>4</v>
      </c>
      <c r="L91" s="567">
        <v>0</v>
      </c>
      <c r="M91" s="564">
        <v>3</v>
      </c>
      <c r="N91" s="568">
        <v>0.25</v>
      </c>
      <c r="O91" s="565">
        <v>218.25</v>
      </c>
      <c r="P91" s="564">
        <v>1</v>
      </c>
      <c r="Q91" s="569">
        <v>0.25</v>
      </c>
      <c r="R91" s="570">
        <v>654.75</v>
      </c>
      <c r="S91" s="565" t="s">
        <v>123</v>
      </c>
      <c r="T91" s="564" t="s">
        <v>123</v>
      </c>
      <c r="U91" s="634" t="s">
        <v>123</v>
      </c>
      <c r="V91" s="566" t="s">
        <v>123</v>
      </c>
      <c r="W91" s="567" t="s">
        <v>123</v>
      </c>
      <c r="X91" s="564" t="s">
        <v>123</v>
      </c>
      <c r="Y91" s="568" t="s">
        <v>123</v>
      </c>
      <c r="Z91" s="634" t="s">
        <v>123</v>
      </c>
      <c r="AA91" s="591" t="s">
        <v>123</v>
      </c>
      <c r="AB91" s="569" t="s">
        <v>123</v>
      </c>
      <c r="AC91" s="571" t="s">
        <v>123</v>
      </c>
      <c r="AD91" s="563">
        <v>654.75</v>
      </c>
      <c r="AE91" s="564">
        <v>4</v>
      </c>
      <c r="AF91" s="565">
        <v>163.6875</v>
      </c>
      <c r="AG91" s="566">
        <v>4</v>
      </c>
      <c r="AH91" s="567">
        <v>0</v>
      </c>
      <c r="AI91" s="564">
        <v>3</v>
      </c>
      <c r="AJ91" s="568">
        <v>0.25</v>
      </c>
      <c r="AK91" s="565">
        <v>218.25</v>
      </c>
      <c r="AL91" s="591">
        <v>1</v>
      </c>
      <c r="AM91" s="569">
        <v>0.25</v>
      </c>
      <c r="AN91" s="571">
        <v>654.75</v>
      </c>
      <c r="AO91" s="635"/>
      <c r="AP91" s="575"/>
      <c r="AQ91" s="636"/>
      <c r="AR91" s="637"/>
      <c r="AS91" s="638"/>
      <c r="AT91" s="579"/>
      <c r="AU91" s="580"/>
    </row>
    <row r="92" spans="1:47" ht="21" hidden="1" customHeight="1">
      <c r="A92" t="s">
        <v>276</v>
      </c>
      <c r="B92" t="s">
        <v>276</v>
      </c>
      <c r="C92" s="759"/>
      <c r="D92" s="561" t="s">
        <v>40</v>
      </c>
      <c r="E92" s="561" t="s">
        <v>142</v>
      </c>
      <c r="F92" s="561" t="s">
        <v>44</v>
      </c>
      <c r="G92" s="562" t="s">
        <v>60</v>
      </c>
      <c r="H92" s="563">
        <v>8572.4599999999991</v>
      </c>
      <c r="I92" s="564">
        <v>288</v>
      </c>
      <c r="J92" s="565">
        <v>29.765486111111109</v>
      </c>
      <c r="K92" s="566">
        <v>269</v>
      </c>
      <c r="L92" s="567">
        <v>6.5972222222222224E-2</v>
      </c>
      <c r="M92" s="564">
        <v>180</v>
      </c>
      <c r="N92" s="568">
        <v>0.33085501858736061</v>
      </c>
      <c r="O92" s="565">
        <v>47.624777777777773</v>
      </c>
      <c r="P92" s="564">
        <v>61</v>
      </c>
      <c r="Q92" s="569">
        <v>0.22676579925650558</v>
      </c>
      <c r="R92" s="570">
        <v>140.53213114754098</v>
      </c>
      <c r="S92" s="565" t="s">
        <v>123</v>
      </c>
      <c r="T92" s="564" t="s">
        <v>123</v>
      </c>
      <c r="U92" s="634" t="s">
        <v>123</v>
      </c>
      <c r="V92" s="566" t="s">
        <v>123</v>
      </c>
      <c r="W92" s="567" t="s">
        <v>123</v>
      </c>
      <c r="X92" s="564" t="s">
        <v>123</v>
      </c>
      <c r="Y92" s="568" t="s">
        <v>123</v>
      </c>
      <c r="Z92" s="634" t="s">
        <v>123</v>
      </c>
      <c r="AA92" s="591" t="s">
        <v>123</v>
      </c>
      <c r="AB92" s="569" t="s">
        <v>123</v>
      </c>
      <c r="AC92" s="571" t="s">
        <v>123</v>
      </c>
      <c r="AD92" s="563">
        <v>8572.4599999999991</v>
      </c>
      <c r="AE92" s="564">
        <v>288</v>
      </c>
      <c r="AF92" s="565">
        <v>29.765486111111109</v>
      </c>
      <c r="AG92" s="566">
        <v>269</v>
      </c>
      <c r="AH92" s="567">
        <v>6.5972222222222224E-2</v>
      </c>
      <c r="AI92" s="564">
        <v>180</v>
      </c>
      <c r="AJ92" s="568">
        <v>0.33085501858736061</v>
      </c>
      <c r="AK92" s="565">
        <v>47.624777777777773</v>
      </c>
      <c r="AL92" s="591">
        <v>61</v>
      </c>
      <c r="AM92" s="569">
        <v>0.22676579925650558</v>
      </c>
      <c r="AN92" s="571">
        <v>140.53213114754098</v>
      </c>
      <c r="AO92" s="635"/>
      <c r="AP92" s="575"/>
      <c r="AQ92" s="636"/>
      <c r="AR92" s="637"/>
      <c r="AS92" s="638"/>
      <c r="AT92" s="579"/>
      <c r="AU92" s="580"/>
    </row>
    <row r="93" spans="1:47" ht="21" hidden="1" customHeight="1">
      <c r="A93" t="s">
        <v>278</v>
      </c>
      <c r="B93" t="s">
        <v>278</v>
      </c>
      <c r="C93" s="759"/>
      <c r="D93" s="561" t="s">
        <v>52</v>
      </c>
      <c r="E93" s="561" t="s">
        <v>145</v>
      </c>
      <c r="F93" s="561" t="s">
        <v>44</v>
      </c>
      <c r="G93" s="562" t="s">
        <v>60</v>
      </c>
      <c r="H93" s="563">
        <v>17567.509999999998</v>
      </c>
      <c r="I93" s="564">
        <v>476</v>
      </c>
      <c r="J93" s="565">
        <v>36.906533613445376</v>
      </c>
      <c r="K93" s="566">
        <v>465</v>
      </c>
      <c r="L93" s="567">
        <v>2.3109243697478993E-2</v>
      </c>
      <c r="M93" s="564">
        <v>389</v>
      </c>
      <c r="N93" s="568">
        <v>0.16344086021505377</v>
      </c>
      <c r="O93" s="565">
        <v>45.160694087403591</v>
      </c>
      <c r="P93" s="564">
        <v>192</v>
      </c>
      <c r="Q93" s="569">
        <v>0.41290322580645161</v>
      </c>
      <c r="R93" s="570">
        <v>91.497447916666658</v>
      </c>
      <c r="S93" s="565" t="s">
        <v>123</v>
      </c>
      <c r="T93" s="564" t="s">
        <v>123</v>
      </c>
      <c r="U93" s="634" t="s">
        <v>123</v>
      </c>
      <c r="V93" s="566" t="s">
        <v>123</v>
      </c>
      <c r="W93" s="567" t="s">
        <v>123</v>
      </c>
      <c r="X93" s="564" t="s">
        <v>123</v>
      </c>
      <c r="Y93" s="568" t="s">
        <v>123</v>
      </c>
      <c r="Z93" s="634" t="s">
        <v>123</v>
      </c>
      <c r="AA93" s="591" t="s">
        <v>123</v>
      </c>
      <c r="AB93" s="569" t="s">
        <v>123</v>
      </c>
      <c r="AC93" s="571" t="s">
        <v>123</v>
      </c>
      <c r="AD93" s="563">
        <v>17567.509999999998</v>
      </c>
      <c r="AE93" s="564">
        <v>476</v>
      </c>
      <c r="AF93" s="565">
        <v>36.906533613445376</v>
      </c>
      <c r="AG93" s="566">
        <v>465</v>
      </c>
      <c r="AH93" s="567">
        <v>2.3109243697478993E-2</v>
      </c>
      <c r="AI93" s="564">
        <v>389</v>
      </c>
      <c r="AJ93" s="568">
        <v>0.16344086021505377</v>
      </c>
      <c r="AK93" s="565">
        <v>45.160694087403591</v>
      </c>
      <c r="AL93" s="591">
        <v>192</v>
      </c>
      <c r="AM93" s="569">
        <v>0.41290322580645161</v>
      </c>
      <c r="AN93" s="571">
        <v>91.497447916666658</v>
      </c>
      <c r="AO93" s="635"/>
      <c r="AP93" s="575"/>
      <c r="AQ93" s="636"/>
      <c r="AR93" s="637"/>
      <c r="AS93" s="638"/>
      <c r="AT93" s="579"/>
      <c r="AU93" s="580"/>
    </row>
    <row r="94" spans="1:47" ht="21" hidden="1" customHeight="1">
      <c r="A94" t="s">
        <v>280</v>
      </c>
      <c r="B94" t="s">
        <v>280</v>
      </c>
      <c r="C94" s="760"/>
      <c r="D94" s="584" t="s">
        <v>40</v>
      </c>
      <c r="E94" s="584" t="s">
        <v>57</v>
      </c>
      <c r="F94" s="584" t="s">
        <v>57</v>
      </c>
      <c r="G94" s="585" t="s">
        <v>60</v>
      </c>
      <c r="H94" s="563">
        <v>412478.27</v>
      </c>
      <c r="I94" s="581">
        <v>32973</v>
      </c>
      <c r="J94" s="582">
        <v>12.50957662329785</v>
      </c>
      <c r="K94" s="566">
        <v>15193</v>
      </c>
      <c r="L94" s="567">
        <v>0.53922906620568345</v>
      </c>
      <c r="M94" s="564">
        <v>5105</v>
      </c>
      <c r="N94" s="568">
        <v>0.66398999539261505</v>
      </c>
      <c r="O94" s="586">
        <v>80.798877571008816</v>
      </c>
      <c r="P94" s="564">
        <v>848</v>
      </c>
      <c r="Q94" s="569">
        <v>5.5815178042519578E-2</v>
      </c>
      <c r="R94" s="570">
        <v>486.41305424528304</v>
      </c>
      <c r="S94" s="565">
        <v>412478.27</v>
      </c>
      <c r="T94" s="564">
        <v>32973</v>
      </c>
      <c r="U94" s="639">
        <v>12.50957662329785</v>
      </c>
      <c r="V94" s="566">
        <v>15193</v>
      </c>
      <c r="W94" s="567">
        <v>0.53922906620568345</v>
      </c>
      <c r="X94" s="564">
        <v>5105</v>
      </c>
      <c r="Y94" s="568">
        <v>0.66398999539261505</v>
      </c>
      <c r="Z94" s="640">
        <v>80.798877571008816</v>
      </c>
      <c r="AA94" s="591">
        <v>848</v>
      </c>
      <c r="AB94" s="569">
        <v>5.5815178042519578E-2</v>
      </c>
      <c r="AC94" s="571">
        <v>486.41305424528304</v>
      </c>
      <c r="AD94" s="563" t="s">
        <v>123</v>
      </c>
      <c r="AE94" s="564" t="s">
        <v>123</v>
      </c>
      <c r="AF94" s="565" t="s">
        <v>123</v>
      </c>
      <c r="AG94" s="566" t="s">
        <v>123</v>
      </c>
      <c r="AH94" s="567" t="s">
        <v>123</v>
      </c>
      <c r="AI94" s="564" t="s">
        <v>123</v>
      </c>
      <c r="AJ94" s="568" t="s">
        <v>123</v>
      </c>
      <c r="AK94" s="586" t="s">
        <v>123</v>
      </c>
      <c r="AL94" s="591" t="s">
        <v>123</v>
      </c>
      <c r="AM94" s="569" t="s">
        <v>123</v>
      </c>
      <c r="AN94" s="571" t="s">
        <v>123</v>
      </c>
      <c r="AO94" s="635"/>
      <c r="AP94" s="587"/>
      <c r="AQ94" s="636"/>
      <c r="AR94" s="641"/>
      <c r="AS94" s="638"/>
      <c r="AT94" s="579"/>
      <c r="AU94" s="580"/>
    </row>
    <row r="95" spans="1:47" ht="49.95" customHeight="1">
      <c r="C95" s="758" t="s">
        <v>242</v>
      </c>
      <c r="D95" s="541"/>
      <c r="E95" s="541"/>
      <c r="F95" s="541"/>
      <c r="G95" s="542" t="s">
        <v>139</v>
      </c>
      <c r="H95" s="543">
        <v>66430.95</v>
      </c>
      <c r="I95" s="544">
        <v>2442</v>
      </c>
      <c r="J95" s="545">
        <v>27.203501228501228</v>
      </c>
      <c r="K95" s="546">
        <v>2306</v>
      </c>
      <c r="L95" s="547">
        <v>5.5692055692055695E-2</v>
      </c>
      <c r="M95" s="544">
        <v>1514</v>
      </c>
      <c r="N95" s="548">
        <v>0.3434518647007806</v>
      </c>
      <c r="O95" s="549">
        <v>43.877774108322321</v>
      </c>
      <c r="P95" s="544">
        <v>568</v>
      </c>
      <c r="Q95" s="548">
        <v>0.24631396357328708</v>
      </c>
      <c r="R95" s="550">
        <v>116.95589788732394</v>
      </c>
      <c r="S95" s="545">
        <v>16085</v>
      </c>
      <c r="T95" s="544">
        <v>984</v>
      </c>
      <c r="U95" s="627">
        <v>16.346544715447155</v>
      </c>
      <c r="V95" s="546">
        <v>990</v>
      </c>
      <c r="W95" s="547">
        <v>-6.0975609756097563E-3</v>
      </c>
      <c r="X95" s="544">
        <v>497</v>
      </c>
      <c r="Y95" s="548">
        <v>0.49797979797979797</v>
      </c>
      <c r="Z95" s="628">
        <v>32.364185110663982</v>
      </c>
      <c r="AA95" s="629">
        <v>128</v>
      </c>
      <c r="AB95" s="548">
        <v>0.12929292929292929</v>
      </c>
      <c r="AC95" s="551">
        <v>125.6640625</v>
      </c>
      <c r="AD95" s="552">
        <v>50345.95</v>
      </c>
      <c r="AE95" s="553">
        <v>1458</v>
      </c>
      <c r="AF95" s="549">
        <v>34.530829903978052</v>
      </c>
      <c r="AG95" s="546">
        <v>1316</v>
      </c>
      <c r="AH95" s="547">
        <v>9.7393689986282575E-2</v>
      </c>
      <c r="AI95" s="553">
        <v>1017</v>
      </c>
      <c r="AJ95" s="548">
        <v>0.22720364741641338</v>
      </c>
      <c r="AK95" s="549">
        <v>49.5043756145526</v>
      </c>
      <c r="AL95" s="554">
        <v>440</v>
      </c>
      <c r="AM95" s="548">
        <v>0.33434650455927051</v>
      </c>
      <c r="AN95" s="551">
        <v>114.42261363636364</v>
      </c>
      <c r="AO95" s="630">
        <v>0.9052</v>
      </c>
      <c r="AP95" s="555">
        <v>0.82299999999999995</v>
      </c>
      <c r="AQ95" s="631">
        <v>0.84440000000000004</v>
      </c>
      <c r="AR95" s="632">
        <v>0.85270000000000001</v>
      </c>
      <c r="AS95" s="633">
        <v>3.13</v>
      </c>
      <c r="AT95" s="583"/>
      <c r="AU95" s="580"/>
    </row>
    <row r="96" spans="1:47" ht="21" hidden="1" customHeight="1">
      <c r="A96" t="s">
        <v>351</v>
      </c>
      <c r="B96" t="s">
        <v>268</v>
      </c>
      <c r="C96" s="759"/>
      <c r="D96" s="561" t="s">
        <v>40</v>
      </c>
      <c r="E96" s="561" t="s">
        <v>142</v>
      </c>
      <c r="F96" s="561" t="s">
        <v>44</v>
      </c>
      <c r="G96" s="562" t="s">
        <v>42</v>
      </c>
      <c r="H96" s="563">
        <v>3627.55</v>
      </c>
      <c r="I96" s="564">
        <v>172</v>
      </c>
      <c r="J96" s="565">
        <v>21.090406976744188</v>
      </c>
      <c r="K96" s="566">
        <v>153</v>
      </c>
      <c r="L96" s="567">
        <v>0.11046511627906977</v>
      </c>
      <c r="M96" s="564">
        <v>124</v>
      </c>
      <c r="N96" s="568">
        <v>0.18954248366013071</v>
      </c>
      <c r="O96" s="565">
        <v>29.254435483870971</v>
      </c>
      <c r="P96" s="564">
        <v>47</v>
      </c>
      <c r="Q96" s="569">
        <v>0.30718954248366015</v>
      </c>
      <c r="R96" s="570">
        <v>77.181914893617019</v>
      </c>
      <c r="S96" s="565" t="s">
        <v>123</v>
      </c>
      <c r="T96" s="564" t="s">
        <v>123</v>
      </c>
      <c r="U96" s="634" t="s">
        <v>123</v>
      </c>
      <c r="V96" s="566" t="s">
        <v>123</v>
      </c>
      <c r="W96" s="567" t="s">
        <v>123</v>
      </c>
      <c r="X96" s="564" t="s">
        <v>123</v>
      </c>
      <c r="Y96" s="568" t="s">
        <v>123</v>
      </c>
      <c r="Z96" s="634" t="s">
        <v>123</v>
      </c>
      <c r="AA96" s="591" t="s">
        <v>123</v>
      </c>
      <c r="AB96" s="569" t="s">
        <v>123</v>
      </c>
      <c r="AC96" s="571" t="s">
        <v>123</v>
      </c>
      <c r="AD96" s="563">
        <v>3627.55</v>
      </c>
      <c r="AE96" s="564">
        <v>172</v>
      </c>
      <c r="AF96" s="565">
        <v>21.090406976744188</v>
      </c>
      <c r="AG96" s="566">
        <v>153</v>
      </c>
      <c r="AH96" s="567">
        <v>0.11046511627906977</v>
      </c>
      <c r="AI96" s="564">
        <v>124</v>
      </c>
      <c r="AJ96" s="568">
        <v>0.18954248366013071</v>
      </c>
      <c r="AK96" s="565">
        <v>29.254435483870971</v>
      </c>
      <c r="AL96" s="574">
        <v>47</v>
      </c>
      <c r="AM96" s="569">
        <v>0.30718954248366015</v>
      </c>
      <c r="AN96" s="571">
        <v>77.181914893617019</v>
      </c>
      <c r="AO96" s="635"/>
      <c r="AP96" s="575"/>
      <c r="AQ96" s="636"/>
      <c r="AR96" s="637"/>
      <c r="AS96" s="638"/>
      <c r="AT96" s="579"/>
      <c r="AU96" s="580"/>
    </row>
    <row r="97" spans="1:47" ht="21" hidden="1" customHeight="1">
      <c r="A97" t="s">
        <v>352</v>
      </c>
      <c r="B97" t="s">
        <v>270</v>
      </c>
      <c r="C97" s="759"/>
      <c r="D97" s="561" t="s">
        <v>52</v>
      </c>
      <c r="E97" s="561" t="s">
        <v>145</v>
      </c>
      <c r="F97" s="561" t="s">
        <v>44</v>
      </c>
      <c r="G97" s="562" t="s">
        <v>42</v>
      </c>
      <c r="H97" s="563">
        <v>9489.25</v>
      </c>
      <c r="I97" s="564">
        <v>414</v>
      </c>
      <c r="J97" s="565">
        <v>22.920893719806763</v>
      </c>
      <c r="K97" s="566">
        <v>358</v>
      </c>
      <c r="L97" s="567">
        <v>0.13526570048309178</v>
      </c>
      <c r="M97" s="564">
        <v>278</v>
      </c>
      <c r="N97" s="568">
        <v>0.22346368715083798</v>
      </c>
      <c r="O97" s="565">
        <v>34.133992805755398</v>
      </c>
      <c r="P97" s="564">
        <v>112</v>
      </c>
      <c r="Q97" s="569">
        <v>0.31284916201117319</v>
      </c>
      <c r="R97" s="570">
        <v>84.725446428571431</v>
      </c>
      <c r="S97" s="565" t="s">
        <v>123</v>
      </c>
      <c r="T97" s="564" t="s">
        <v>123</v>
      </c>
      <c r="U97" s="634" t="s">
        <v>123</v>
      </c>
      <c r="V97" s="566" t="s">
        <v>123</v>
      </c>
      <c r="W97" s="567" t="s">
        <v>123</v>
      </c>
      <c r="X97" s="564" t="s">
        <v>123</v>
      </c>
      <c r="Y97" s="568" t="s">
        <v>123</v>
      </c>
      <c r="Z97" s="634" t="s">
        <v>123</v>
      </c>
      <c r="AA97" s="591" t="s">
        <v>123</v>
      </c>
      <c r="AB97" s="569" t="s">
        <v>123</v>
      </c>
      <c r="AC97" s="571" t="s">
        <v>123</v>
      </c>
      <c r="AD97" s="563">
        <v>9489.25</v>
      </c>
      <c r="AE97" s="564">
        <v>414</v>
      </c>
      <c r="AF97" s="565">
        <v>22.920893719806763</v>
      </c>
      <c r="AG97" s="566">
        <v>358</v>
      </c>
      <c r="AH97" s="567">
        <v>0.13526570048309178</v>
      </c>
      <c r="AI97" s="564">
        <v>278</v>
      </c>
      <c r="AJ97" s="568">
        <v>0.22346368715083798</v>
      </c>
      <c r="AK97" s="565">
        <v>34.133992805755398</v>
      </c>
      <c r="AL97" s="574">
        <v>112</v>
      </c>
      <c r="AM97" s="569">
        <v>0.31284916201117319</v>
      </c>
      <c r="AN97" s="571">
        <v>84.725446428571431</v>
      </c>
      <c r="AO97" s="635"/>
      <c r="AP97" s="575"/>
      <c r="AQ97" s="636"/>
      <c r="AR97" s="637"/>
      <c r="AS97" s="638"/>
      <c r="AT97" s="579"/>
      <c r="AU97" s="580"/>
    </row>
    <row r="98" spans="1:47" ht="21" hidden="1" customHeight="1">
      <c r="A98" t="s">
        <v>353</v>
      </c>
      <c r="B98" t="s">
        <v>272</v>
      </c>
      <c r="C98" s="759"/>
      <c r="D98" s="561" t="s">
        <v>40</v>
      </c>
      <c r="E98" s="561" t="s">
        <v>57</v>
      </c>
      <c r="F98" s="561" t="s">
        <v>57</v>
      </c>
      <c r="G98" s="562" t="s">
        <v>42</v>
      </c>
      <c r="H98" s="563">
        <v>0</v>
      </c>
      <c r="I98" s="564">
        <v>0</v>
      </c>
      <c r="J98" s="565" t="s">
        <v>123</v>
      </c>
      <c r="K98" s="566">
        <v>6</v>
      </c>
      <c r="L98" s="567" t="s">
        <v>123</v>
      </c>
      <c r="M98" s="564">
        <v>0</v>
      </c>
      <c r="N98" s="568">
        <v>1</v>
      </c>
      <c r="O98" s="565" t="s">
        <v>123</v>
      </c>
      <c r="P98" s="564">
        <v>0</v>
      </c>
      <c r="Q98" s="569">
        <v>0</v>
      </c>
      <c r="R98" s="570" t="s">
        <v>123</v>
      </c>
      <c r="S98" s="565">
        <v>0</v>
      </c>
      <c r="T98" s="564">
        <v>0</v>
      </c>
      <c r="U98" s="634" t="s">
        <v>123</v>
      </c>
      <c r="V98" s="566">
        <v>6</v>
      </c>
      <c r="W98" s="567" t="s">
        <v>123</v>
      </c>
      <c r="X98" s="564">
        <v>0</v>
      </c>
      <c r="Y98" s="568">
        <v>1</v>
      </c>
      <c r="Z98" s="634" t="s">
        <v>123</v>
      </c>
      <c r="AA98" s="591">
        <v>0</v>
      </c>
      <c r="AB98" s="569">
        <v>0</v>
      </c>
      <c r="AC98" s="571" t="s">
        <v>123</v>
      </c>
      <c r="AD98" s="563" t="s">
        <v>123</v>
      </c>
      <c r="AE98" s="564" t="s">
        <v>123</v>
      </c>
      <c r="AF98" s="565" t="s">
        <v>123</v>
      </c>
      <c r="AG98" s="566" t="s">
        <v>123</v>
      </c>
      <c r="AH98" s="567" t="s">
        <v>123</v>
      </c>
      <c r="AI98" s="564" t="s">
        <v>123</v>
      </c>
      <c r="AJ98" s="568" t="s">
        <v>123</v>
      </c>
      <c r="AK98" s="565" t="s">
        <v>123</v>
      </c>
      <c r="AL98" s="574" t="s">
        <v>123</v>
      </c>
      <c r="AM98" s="569" t="s">
        <v>123</v>
      </c>
      <c r="AN98" s="571" t="s">
        <v>123</v>
      </c>
      <c r="AO98" s="635"/>
      <c r="AP98" s="575"/>
      <c r="AQ98" s="636"/>
      <c r="AR98" s="637"/>
      <c r="AS98" s="638"/>
      <c r="AT98" s="579"/>
      <c r="AU98" s="580"/>
    </row>
    <row r="99" spans="1:47" ht="21" hidden="1" customHeight="1">
      <c r="A99" t="s">
        <v>354</v>
      </c>
      <c r="B99" t="s">
        <v>274</v>
      </c>
      <c r="C99" s="759"/>
      <c r="D99" s="561" t="s">
        <v>52</v>
      </c>
      <c r="E99" s="561" t="s">
        <v>121</v>
      </c>
      <c r="F99" s="561" t="s">
        <v>44</v>
      </c>
      <c r="G99" s="562" t="s">
        <v>42</v>
      </c>
      <c r="H99" s="563">
        <v>0</v>
      </c>
      <c r="I99" s="564">
        <v>0</v>
      </c>
      <c r="J99" s="565" t="s">
        <v>123</v>
      </c>
      <c r="K99" s="566">
        <v>0</v>
      </c>
      <c r="L99" s="567" t="s">
        <v>123</v>
      </c>
      <c r="M99" s="564">
        <v>0</v>
      </c>
      <c r="N99" s="568" t="s">
        <v>123</v>
      </c>
      <c r="O99" s="565" t="s">
        <v>123</v>
      </c>
      <c r="P99" s="564">
        <v>0</v>
      </c>
      <c r="Q99" s="569" t="s">
        <v>123</v>
      </c>
      <c r="R99" s="570" t="s">
        <v>123</v>
      </c>
      <c r="S99" s="565" t="s">
        <v>123</v>
      </c>
      <c r="T99" s="564" t="s">
        <v>123</v>
      </c>
      <c r="U99" s="634" t="s">
        <v>123</v>
      </c>
      <c r="V99" s="566" t="s">
        <v>123</v>
      </c>
      <c r="W99" s="567" t="s">
        <v>123</v>
      </c>
      <c r="X99" s="564" t="s">
        <v>123</v>
      </c>
      <c r="Y99" s="568" t="s">
        <v>123</v>
      </c>
      <c r="Z99" s="634" t="s">
        <v>123</v>
      </c>
      <c r="AA99" s="591" t="s">
        <v>123</v>
      </c>
      <c r="AB99" s="569" t="s">
        <v>123</v>
      </c>
      <c r="AC99" s="571" t="s">
        <v>123</v>
      </c>
      <c r="AD99" s="563">
        <v>0</v>
      </c>
      <c r="AE99" s="564">
        <v>0</v>
      </c>
      <c r="AF99" s="565" t="s">
        <v>123</v>
      </c>
      <c r="AG99" s="566">
        <v>0</v>
      </c>
      <c r="AH99" s="567" t="s">
        <v>123</v>
      </c>
      <c r="AI99" s="564">
        <v>0</v>
      </c>
      <c r="AJ99" s="568" t="s">
        <v>123</v>
      </c>
      <c r="AK99" s="565" t="s">
        <v>123</v>
      </c>
      <c r="AL99" s="574">
        <v>0</v>
      </c>
      <c r="AM99" s="569" t="s">
        <v>123</v>
      </c>
      <c r="AN99" s="571" t="s">
        <v>123</v>
      </c>
      <c r="AO99" s="635"/>
      <c r="AP99" s="575"/>
      <c r="AQ99" s="636"/>
      <c r="AR99" s="637"/>
      <c r="AS99" s="638"/>
      <c r="AT99" s="579"/>
      <c r="AU99" s="580"/>
    </row>
    <row r="100" spans="1:47" ht="21" hidden="1" customHeight="1">
      <c r="A100" t="s">
        <v>355</v>
      </c>
      <c r="B100" t="s">
        <v>276</v>
      </c>
      <c r="C100" s="759"/>
      <c r="D100" s="561" t="s">
        <v>40</v>
      </c>
      <c r="E100" s="561" t="s">
        <v>142</v>
      </c>
      <c r="F100" s="561" t="s">
        <v>44</v>
      </c>
      <c r="G100" s="562" t="s">
        <v>60</v>
      </c>
      <c r="H100" s="563">
        <v>12221.57</v>
      </c>
      <c r="I100" s="564">
        <v>306</v>
      </c>
      <c r="J100" s="565">
        <v>39.939771241830066</v>
      </c>
      <c r="K100" s="566">
        <v>279</v>
      </c>
      <c r="L100" s="567">
        <v>8.8235294117647065E-2</v>
      </c>
      <c r="M100" s="564">
        <v>199</v>
      </c>
      <c r="N100" s="568">
        <v>0.28673835125448027</v>
      </c>
      <c r="O100" s="565">
        <v>61.414924623115574</v>
      </c>
      <c r="P100" s="564">
        <v>67</v>
      </c>
      <c r="Q100" s="569">
        <v>0.24014336917562723</v>
      </c>
      <c r="R100" s="570">
        <v>182.41149253731342</v>
      </c>
      <c r="S100" s="565" t="s">
        <v>123</v>
      </c>
      <c r="T100" s="564" t="s">
        <v>123</v>
      </c>
      <c r="U100" s="634" t="s">
        <v>123</v>
      </c>
      <c r="V100" s="566" t="s">
        <v>123</v>
      </c>
      <c r="W100" s="567" t="s">
        <v>123</v>
      </c>
      <c r="X100" s="564" t="s">
        <v>123</v>
      </c>
      <c r="Y100" s="568" t="s">
        <v>123</v>
      </c>
      <c r="Z100" s="634" t="s">
        <v>123</v>
      </c>
      <c r="AA100" s="591" t="s">
        <v>123</v>
      </c>
      <c r="AB100" s="569" t="s">
        <v>123</v>
      </c>
      <c r="AC100" s="571" t="s">
        <v>123</v>
      </c>
      <c r="AD100" s="563">
        <v>12221.57</v>
      </c>
      <c r="AE100" s="564">
        <v>306</v>
      </c>
      <c r="AF100" s="565">
        <v>39.939771241830066</v>
      </c>
      <c r="AG100" s="566">
        <v>279</v>
      </c>
      <c r="AH100" s="567">
        <v>8.8235294117647065E-2</v>
      </c>
      <c r="AI100" s="564">
        <v>199</v>
      </c>
      <c r="AJ100" s="568">
        <v>0.28673835125448027</v>
      </c>
      <c r="AK100" s="565">
        <v>61.414924623115574</v>
      </c>
      <c r="AL100" s="574">
        <v>67</v>
      </c>
      <c r="AM100" s="569">
        <v>0.24014336917562723</v>
      </c>
      <c r="AN100" s="571">
        <v>182.41149253731342</v>
      </c>
      <c r="AO100" s="635"/>
      <c r="AP100" s="575"/>
      <c r="AQ100" s="636"/>
      <c r="AR100" s="637"/>
      <c r="AS100" s="638"/>
      <c r="AT100" s="579"/>
      <c r="AU100" s="580"/>
    </row>
    <row r="101" spans="1:47" ht="21" hidden="1" customHeight="1">
      <c r="A101" t="s">
        <v>356</v>
      </c>
      <c r="B101" t="s">
        <v>278</v>
      </c>
      <c r="C101" s="759"/>
      <c r="D101" s="561" t="s">
        <v>52</v>
      </c>
      <c r="E101" s="561" t="s">
        <v>145</v>
      </c>
      <c r="F101" s="561" t="s">
        <v>44</v>
      </c>
      <c r="G101" s="562" t="s">
        <v>60</v>
      </c>
      <c r="H101" s="563">
        <v>25007.58</v>
      </c>
      <c r="I101" s="564">
        <v>566</v>
      </c>
      <c r="J101" s="565">
        <v>44.183003533568908</v>
      </c>
      <c r="K101" s="566">
        <v>526</v>
      </c>
      <c r="L101" s="567">
        <v>7.0671378091872794E-2</v>
      </c>
      <c r="M101" s="564">
        <v>416</v>
      </c>
      <c r="N101" s="568">
        <v>0.20912547528517111</v>
      </c>
      <c r="O101" s="565">
        <v>60.114375000000003</v>
      </c>
      <c r="P101" s="564">
        <v>214</v>
      </c>
      <c r="Q101" s="569">
        <v>0.40684410646387831</v>
      </c>
      <c r="R101" s="570">
        <v>116.85785046728972</v>
      </c>
      <c r="S101" s="565" t="s">
        <v>123</v>
      </c>
      <c r="T101" s="564" t="s">
        <v>123</v>
      </c>
      <c r="U101" s="634" t="s">
        <v>123</v>
      </c>
      <c r="V101" s="566" t="s">
        <v>123</v>
      </c>
      <c r="W101" s="567" t="s">
        <v>123</v>
      </c>
      <c r="X101" s="564" t="s">
        <v>123</v>
      </c>
      <c r="Y101" s="568" t="s">
        <v>123</v>
      </c>
      <c r="Z101" s="634" t="s">
        <v>123</v>
      </c>
      <c r="AA101" s="591" t="s">
        <v>123</v>
      </c>
      <c r="AB101" s="569" t="s">
        <v>123</v>
      </c>
      <c r="AC101" s="571" t="s">
        <v>123</v>
      </c>
      <c r="AD101" s="563">
        <v>25007.58</v>
      </c>
      <c r="AE101" s="564">
        <v>566</v>
      </c>
      <c r="AF101" s="565">
        <v>44.183003533568908</v>
      </c>
      <c r="AG101" s="566">
        <v>526</v>
      </c>
      <c r="AH101" s="567">
        <v>7.0671378091872794E-2</v>
      </c>
      <c r="AI101" s="564">
        <v>416</v>
      </c>
      <c r="AJ101" s="568">
        <v>0.20912547528517111</v>
      </c>
      <c r="AK101" s="565">
        <v>60.114375000000003</v>
      </c>
      <c r="AL101" s="574">
        <v>214</v>
      </c>
      <c r="AM101" s="569">
        <v>0.40684410646387831</v>
      </c>
      <c r="AN101" s="571">
        <v>116.85785046728972</v>
      </c>
      <c r="AO101" s="635"/>
      <c r="AP101" s="575"/>
      <c r="AQ101" s="636"/>
      <c r="AR101" s="637"/>
      <c r="AS101" s="638"/>
      <c r="AT101" s="579"/>
      <c r="AU101" s="580"/>
    </row>
    <row r="102" spans="1:47" ht="21" hidden="1" customHeight="1">
      <c r="A102" t="s">
        <v>357</v>
      </c>
      <c r="B102" t="s">
        <v>280</v>
      </c>
      <c r="C102" s="760"/>
      <c r="D102" s="584" t="s">
        <v>40</v>
      </c>
      <c r="E102" s="584" t="s">
        <v>57</v>
      </c>
      <c r="F102" s="584" t="s">
        <v>57</v>
      </c>
      <c r="G102" s="585" t="s">
        <v>60</v>
      </c>
      <c r="H102" s="563">
        <v>16085</v>
      </c>
      <c r="I102" s="581">
        <v>984</v>
      </c>
      <c r="J102" s="582">
        <v>16.346544715447155</v>
      </c>
      <c r="K102" s="566">
        <v>984</v>
      </c>
      <c r="L102" s="567">
        <v>0</v>
      </c>
      <c r="M102" s="564">
        <v>497</v>
      </c>
      <c r="N102" s="568">
        <v>0.49491869918699188</v>
      </c>
      <c r="O102" s="586">
        <v>32.364185110663982</v>
      </c>
      <c r="P102" s="564">
        <v>128</v>
      </c>
      <c r="Q102" s="569">
        <v>0.13008130081300814</v>
      </c>
      <c r="R102" s="570">
        <v>125.6640625</v>
      </c>
      <c r="S102" s="565">
        <v>16085</v>
      </c>
      <c r="T102" s="564">
        <v>984</v>
      </c>
      <c r="U102" s="639">
        <v>16.346544715447155</v>
      </c>
      <c r="V102" s="566">
        <v>984</v>
      </c>
      <c r="W102" s="567">
        <v>0</v>
      </c>
      <c r="X102" s="564">
        <v>497</v>
      </c>
      <c r="Y102" s="568">
        <v>0.49491869918699188</v>
      </c>
      <c r="Z102" s="640">
        <v>32.364185110663982</v>
      </c>
      <c r="AA102" s="591">
        <v>128</v>
      </c>
      <c r="AB102" s="569">
        <v>0.13008130081300814</v>
      </c>
      <c r="AC102" s="571">
        <v>125.6640625</v>
      </c>
      <c r="AD102" s="563" t="s">
        <v>123</v>
      </c>
      <c r="AE102" s="564" t="s">
        <v>123</v>
      </c>
      <c r="AF102" s="565" t="s">
        <v>123</v>
      </c>
      <c r="AG102" s="566" t="s">
        <v>123</v>
      </c>
      <c r="AH102" s="567" t="s">
        <v>123</v>
      </c>
      <c r="AI102" s="564" t="s">
        <v>123</v>
      </c>
      <c r="AJ102" s="568" t="s">
        <v>123</v>
      </c>
      <c r="AK102" s="586" t="s">
        <v>123</v>
      </c>
      <c r="AL102" s="574" t="s">
        <v>123</v>
      </c>
      <c r="AM102" s="569" t="s">
        <v>123</v>
      </c>
      <c r="AN102" s="571" t="s">
        <v>123</v>
      </c>
      <c r="AO102" s="635"/>
      <c r="AP102" s="587"/>
      <c r="AQ102" s="636"/>
      <c r="AR102" s="641"/>
      <c r="AS102" s="638"/>
      <c r="AT102" s="579"/>
      <c r="AU102" s="580"/>
    </row>
    <row r="103" spans="1:47" ht="49.95" customHeight="1" thickBot="1">
      <c r="C103" s="758" t="s">
        <v>250</v>
      </c>
      <c r="D103" s="541"/>
      <c r="E103" s="541"/>
      <c r="F103" s="541"/>
      <c r="G103" s="542" t="s">
        <v>139</v>
      </c>
      <c r="H103" s="543">
        <v>47243.240000000005</v>
      </c>
      <c r="I103" s="544">
        <v>1819</v>
      </c>
      <c r="J103" s="545">
        <v>25.97209455744915</v>
      </c>
      <c r="K103" s="546">
        <v>1493</v>
      </c>
      <c r="L103" s="547">
        <v>0.17921935129191863</v>
      </c>
      <c r="M103" s="544">
        <v>1031</v>
      </c>
      <c r="N103" s="548">
        <v>0.30944407233757537</v>
      </c>
      <c r="O103" s="549">
        <v>45.822735208535406</v>
      </c>
      <c r="P103" s="544">
        <v>430</v>
      </c>
      <c r="Q103" s="548">
        <v>0.28801071667782985</v>
      </c>
      <c r="R103" s="550">
        <v>109.86800000000001</v>
      </c>
      <c r="S103" s="545">
        <v>21015.73</v>
      </c>
      <c r="T103" s="544">
        <v>950</v>
      </c>
      <c r="U103" s="627">
        <v>22.121821052631578</v>
      </c>
      <c r="V103" s="546">
        <v>697</v>
      </c>
      <c r="W103" s="547">
        <v>0.26631578947368423</v>
      </c>
      <c r="X103" s="544">
        <v>432</v>
      </c>
      <c r="Y103" s="548">
        <v>0.38020086083213772</v>
      </c>
      <c r="Z103" s="628">
        <v>48.647523148148146</v>
      </c>
      <c r="AA103" s="629">
        <v>158</v>
      </c>
      <c r="AB103" s="548">
        <v>0.2266857962697274</v>
      </c>
      <c r="AC103" s="551">
        <v>133.01094936708861</v>
      </c>
      <c r="AD103" s="552">
        <v>26227.510000000002</v>
      </c>
      <c r="AE103" s="553">
        <v>869</v>
      </c>
      <c r="AF103" s="549">
        <v>30.181254315304951</v>
      </c>
      <c r="AG103" s="546">
        <v>796</v>
      </c>
      <c r="AH103" s="547">
        <v>8.400460299194476E-2</v>
      </c>
      <c r="AI103" s="553">
        <v>599</v>
      </c>
      <c r="AJ103" s="548">
        <v>0.24748743718592964</v>
      </c>
      <c r="AK103" s="549">
        <v>43.785492487479132</v>
      </c>
      <c r="AL103" s="554">
        <v>272</v>
      </c>
      <c r="AM103" s="548">
        <v>0.34170854271356782</v>
      </c>
      <c r="AN103" s="551">
        <v>96.42466911764707</v>
      </c>
      <c r="AO103" s="630"/>
      <c r="AP103" s="555"/>
      <c r="AQ103" s="631"/>
      <c r="AR103" s="632"/>
      <c r="AS103" s="633"/>
      <c r="AT103" s="583"/>
      <c r="AU103" s="580"/>
    </row>
    <row r="104" spans="1:47" ht="21" hidden="1" customHeight="1">
      <c r="A104" t="s">
        <v>358</v>
      </c>
      <c r="B104" t="s">
        <v>268</v>
      </c>
      <c r="C104" s="759"/>
      <c r="D104" s="561" t="s">
        <v>40</v>
      </c>
      <c r="E104" s="561" t="s">
        <v>142</v>
      </c>
      <c r="F104" s="561" t="s">
        <v>44</v>
      </c>
      <c r="G104" s="562" t="s">
        <v>42</v>
      </c>
      <c r="H104" s="563">
        <v>1892.32</v>
      </c>
      <c r="I104" s="564">
        <v>98</v>
      </c>
      <c r="J104" s="565">
        <v>19.309387755102041</v>
      </c>
      <c r="K104" s="566">
        <v>92</v>
      </c>
      <c r="L104" s="567">
        <v>6.1224489795918366E-2</v>
      </c>
      <c r="M104" s="564">
        <v>66</v>
      </c>
      <c r="N104" s="568">
        <v>0.28260869565217389</v>
      </c>
      <c r="O104" s="565">
        <v>28.671515151515152</v>
      </c>
      <c r="P104" s="564">
        <v>28</v>
      </c>
      <c r="Q104" s="569">
        <v>0.30434782608695654</v>
      </c>
      <c r="R104" s="570">
        <v>67.582857142857137</v>
      </c>
      <c r="S104" s="565" t="s">
        <v>123</v>
      </c>
      <c r="T104" s="564" t="s">
        <v>123</v>
      </c>
      <c r="U104" s="634" t="s">
        <v>123</v>
      </c>
      <c r="V104" s="566" t="s">
        <v>123</v>
      </c>
      <c r="W104" s="567" t="s">
        <v>123</v>
      </c>
      <c r="X104" s="564" t="s">
        <v>123</v>
      </c>
      <c r="Y104" s="568" t="s">
        <v>123</v>
      </c>
      <c r="Z104" s="634" t="s">
        <v>123</v>
      </c>
      <c r="AA104" s="591" t="s">
        <v>123</v>
      </c>
      <c r="AB104" s="569" t="s">
        <v>123</v>
      </c>
      <c r="AC104" s="571" t="s">
        <v>123</v>
      </c>
      <c r="AD104" s="563">
        <v>1892.32</v>
      </c>
      <c r="AE104" s="564">
        <v>98</v>
      </c>
      <c r="AF104" s="565">
        <v>19.309387755102041</v>
      </c>
      <c r="AG104" s="566">
        <v>92</v>
      </c>
      <c r="AH104" s="567">
        <v>6.1224489795918366E-2</v>
      </c>
      <c r="AI104" s="564">
        <v>66</v>
      </c>
      <c r="AJ104" s="568">
        <v>0.28260869565217389</v>
      </c>
      <c r="AK104" s="565">
        <v>28.671515151515152</v>
      </c>
      <c r="AL104" s="591">
        <v>28</v>
      </c>
      <c r="AM104" s="569">
        <v>0.30434782608695654</v>
      </c>
      <c r="AN104" s="571">
        <v>67.582857142857137</v>
      </c>
      <c r="AO104" s="635"/>
      <c r="AP104" s="575"/>
      <c r="AQ104" s="636"/>
      <c r="AR104" s="637"/>
      <c r="AS104" s="638"/>
      <c r="AT104" s="579"/>
      <c r="AU104" s="580"/>
    </row>
    <row r="105" spans="1:47" ht="21" hidden="1" customHeight="1">
      <c r="A105" t="s">
        <v>359</v>
      </c>
      <c r="B105" t="s">
        <v>270</v>
      </c>
      <c r="C105" s="759"/>
      <c r="D105" s="561" t="s">
        <v>52</v>
      </c>
      <c r="E105" s="561" t="s">
        <v>145</v>
      </c>
      <c r="F105" s="561" t="s">
        <v>44</v>
      </c>
      <c r="G105" s="562" t="s">
        <v>42</v>
      </c>
      <c r="H105" s="563">
        <v>4158.8500000000004</v>
      </c>
      <c r="I105" s="564">
        <v>221</v>
      </c>
      <c r="J105" s="565">
        <v>18.818325791855205</v>
      </c>
      <c r="K105" s="566">
        <v>189</v>
      </c>
      <c r="L105" s="567">
        <v>0.14479638009049775</v>
      </c>
      <c r="M105" s="564">
        <v>136</v>
      </c>
      <c r="N105" s="568">
        <v>0.28042328042328041</v>
      </c>
      <c r="O105" s="565">
        <v>30.579779411764708</v>
      </c>
      <c r="P105" s="564">
        <v>55</v>
      </c>
      <c r="Q105" s="569">
        <v>0.29100529100529099</v>
      </c>
      <c r="R105" s="570">
        <v>75.615454545454554</v>
      </c>
      <c r="S105" s="565" t="s">
        <v>123</v>
      </c>
      <c r="T105" s="564" t="s">
        <v>123</v>
      </c>
      <c r="U105" s="634" t="s">
        <v>123</v>
      </c>
      <c r="V105" s="566" t="s">
        <v>123</v>
      </c>
      <c r="W105" s="567" t="s">
        <v>123</v>
      </c>
      <c r="X105" s="564" t="s">
        <v>123</v>
      </c>
      <c r="Y105" s="568" t="s">
        <v>123</v>
      </c>
      <c r="Z105" s="634" t="s">
        <v>123</v>
      </c>
      <c r="AA105" s="591" t="s">
        <v>123</v>
      </c>
      <c r="AB105" s="569" t="s">
        <v>123</v>
      </c>
      <c r="AC105" s="571" t="s">
        <v>123</v>
      </c>
      <c r="AD105" s="563">
        <v>4158.8500000000004</v>
      </c>
      <c r="AE105" s="564">
        <v>221</v>
      </c>
      <c r="AF105" s="565">
        <v>18.818325791855205</v>
      </c>
      <c r="AG105" s="566">
        <v>189</v>
      </c>
      <c r="AH105" s="567">
        <v>0.14479638009049775</v>
      </c>
      <c r="AI105" s="564">
        <v>136</v>
      </c>
      <c r="AJ105" s="568">
        <v>0.28042328042328041</v>
      </c>
      <c r="AK105" s="565">
        <v>30.579779411764708</v>
      </c>
      <c r="AL105" s="591">
        <v>55</v>
      </c>
      <c r="AM105" s="569">
        <v>0.29100529100529099</v>
      </c>
      <c r="AN105" s="571">
        <v>75.615454545454554</v>
      </c>
      <c r="AO105" s="635"/>
      <c r="AP105" s="575"/>
      <c r="AQ105" s="636"/>
      <c r="AR105" s="637"/>
      <c r="AS105" s="638"/>
      <c r="AT105" s="579"/>
      <c r="AU105" s="580"/>
    </row>
    <row r="106" spans="1:47" ht="21" hidden="1" customHeight="1">
      <c r="A106" t="s">
        <v>360</v>
      </c>
      <c r="B106" t="s">
        <v>272</v>
      </c>
      <c r="C106" s="759"/>
      <c r="D106" s="561" t="s">
        <v>40</v>
      </c>
      <c r="E106" s="561" t="s">
        <v>57</v>
      </c>
      <c r="F106" s="561" t="s">
        <v>57</v>
      </c>
      <c r="G106" s="562" t="s">
        <v>42</v>
      </c>
      <c r="H106" s="563">
        <v>0</v>
      </c>
      <c r="I106" s="564">
        <v>0</v>
      </c>
      <c r="J106" s="565" t="s">
        <v>123</v>
      </c>
      <c r="K106" s="566">
        <v>4</v>
      </c>
      <c r="L106" s="567" t="s">
        <v>123</v>
      </c>
      <c r="M106" s="564">
        <v>1</v>
      </c>
      <c r="N106" s="568">
        <v>0.75</v>
      </c>
      <c r="O106" s="565">
        <v>0</v>
      </c>
      <c r="P106" s="564">
        <v>0</v>
      </c>
      <c r="Q106" s="569">
        <v>0</v>
      </c>
      <c r="R106" s="570" t="s">
        <v>123</v>
      </c>
      <c r="S106" s="565">
        <v>0</v>
      </c>
      <c r="T106" s="564">
        <v>0</v>
      </c>
      <c r="U106" s="634" t="s">
        <v>123</v>
      </c>
      <c r="V106" s="566">
        <v>4</v>
      </c>
      <c r="W106" s="567" t="s">
        <v>123</v>
      </c>
      <c r="X106" s="564">
        <v>1</v>
      </c>
      <c r="Y106" s="568">
        <v>0.75</v>
      </c>
      <c r="Z106" s="634">
        <v>0</v>
      </c>
      <c r="AA106" s="591">
        <v>0</v>
      </c>
      <c r="AB106" s="569">
        <v>0</v>
      </c>
      <c r="AC106" s="571" t="s">
        <v>123</v>
      </c>
      <c r="AD106" s="563" t="s">
        <v>123</v>
      </c>
      <c r="AE106" s="564" t="s">
        <v>123</v>
      </c>
      <c r="AF106" s="565" t="s">
        <v>123</v>
      </c>
      <c r="AG106" s="566" t="s">
        <v>123</v>
      </c>
      <c r="AH106" s="567" t="s">
        <v>123</v>
      </c>
      <c r="AI106" s="564" t="s">
        <v>123</v>
      </c>
      <c r="AJ106" s="568" t="s">
        <v>123</v>
      </c>
      <c r="AK106" s="565" t="s">
        <v>123</v>
      </c>
      <c r="AL106" s="591" t="s">
        <v>123</v>
      </c>
      <c r="AM106" s="569" t="s">
        <v>123</v>
      </c>
      <c r="AN106" s="571" t="s">
        <v>123</v>
      </c>
      <c r="AO106" s="635"/>
      <c r="AP106" s="575"/>
      <c r="AQ106" s="636"/>
      <c r="AR106" s="637"/>
      <c r="AS106" s="638"/>
      <c r="AT106" s="579"/>
      <c r="AU106" s="580"/>
    </row>
    <row r="107" spans="1:47" ht="21" hidden="1" customHeight="1">
      <c r="A107" t="s">
        <v>361</v>
      </c>
      <c r="B107" t="s">
        <v>274</v>
      </c>
      <c r="C107" s="759"/>
      <c r="D107" s="561" t="s">
        <v>52</v>
      </c>
      <c r="E107" s="561" t="s">
        <v>121</v>
      </c>
      <c r="F107" s="561" t="s">
        <v>44</v>
      </c>
      <c r="G107" s="562" t="s">
        <v>42</v>
      </c>
      <c r="H107" s="563">
        <v>0</v>
      </c>
      <c r="I107" s="564">
        <v>0</v>
      </c>
      <c r="J107" s="565" t="s">
        <v>123</v>
      </c>
      <c r="K107" s="566">
        <v>0</v>
      </c>
      <c r="L107" s="567" t="s">
        <v>123</v>
      </c>
      <c r="M107" s="564">
        <v>0</v>
      </c>
      <c r="N107" s="568" t="s">
        <v>123</v>
      </c>
      <c r="O107" s="565" t="s">
        <v>123</v>
      </c>
      <c r="P107" s="564">
        <v>0</v>
      </c>
      <c r="Q107" s="569" t="s">
        <v>123</v>
      </c>
      <c r="R107" s="570" t="s">
        <v>123</v>
      </c>
      <c r="S107" s="565" t="s">
        <v>123</v>
      </c>
      <c r="T107" s="564" t="s">
        <v>123</v>
      </c>
      <c r="U107" s="634" t="s">
        <v>123</v>
      </c>
      <c r="V107" s="566" t="s">
        <v>123</v>
      </c>
      <c r="W107" s="567" t="s">
        <v>123</v>
      </c>
      <c r="X107" s="564" t="s">
        <v>123</v>
      </c>
      <c r="Y107" s="568" t="s">
        <v>123</v>
      </c>
      <c r="Z107" s="634" t="s">
        <v>123</v>
      </c>
      <c r="AA107" s="591" t="s">
        <v>123</v>
      </c>
      <c r="AB107" s="569" t="s">
        <v>123</v>
      </c>
      <c r="AC107" s="571" t="s">
        <v>123</v>
      </c>
      <c r="AD107" s="563">
        <v>0</v>
      </c>
      <c r="AE107" s="564">
        <v>0</v>
      </c>
      <c r="AF107" s="565" t="s">
        <v>123</v>
      </c>
      <c r="AG107" s="566">
        <v>0</v>
      </c>
      <c r="AH107" s="567" t="s">
        <v>123</v>
      </c>
      <c r="AI107" s="564">
        <v>0</v>
      </c>
      <c r="AJ107" s="568" t="s">
        <v>123</v>
      </c>
      <c r="AK107" s="565" t="s">
        <v>123</v>
      </c>
      <c r="AL107" s="591">
        <v>0</v>
      </c>
      <c r="AM107" s="569" t="s">
        <v>123</v>
      </c>
      <c r="AN107" s="571" t="s">
        <v>123</v>
      </c>
      <c r="AO107" s="635"/>
      <c r="AP107" s="575"/>
      <c r="AQ107" s="636"/>
      <c r="AR107" s="637"/>
      <c r="AS107" s="638"/>
      <c r="AT107" s="579"/>
      <c r="AU107" s="580"/>
    </row>
    <row r="108" spans="1:47" ht="21" hidden="1" customHeight="1">
      <c r="A108" t="s">
        <v>362</v>
      </c>
      <c r="B108" t="s">
        <v>276</v>
      </c>
      <c r="C108" s="759"/>
      <c r="D108" s="561" t="s">
        <v>40</v>
      </c>
      <c r="E108" s="561" t="s">
        <v>142</v>
      </c>
      <c r="F108" s="561" t="s">
        <v>44</v>
      </c>
      <c r="G108" s="562" t="s">
        <v>60</v>
      </c>
      <c r="H108" s="563">
        <v>9115.1200000000008</v>
      </c>
      <c r="I108" s="564">
        <v>221</v>
      </c>
      <c r="J108" s="565">
        <v>41.244886877828058</v>
      </c>
      <c r="K108" s="566">
        <v>203</v>
      </c>
      <c r="L108" s="567">
        <v>8.1447963800904979E-2</v>
      </c>
      <c r="M108" s="564">
        <v>155</v>
      </c>
      <c r="N108" s="568">
        <v>0.23645320197044334</v>
      </c>
      <c r="O108" s="565">
        <v>58.807225806451619</v>
      </c>
      <c r="P108" s="564">
        <v>67</v>
      </c>
      <c r="Q108" s="569">
        <v>0.33004926108374383</v>
      </c>
      <c r="R108" s="570">
        <v>136.04656716417912</v>
      </c>
      <c r="S108" s="565" t="s">
        <v>123</v>
      </c>
      <c r="T108" s="564" t="s">
        <v>123</v>
      </c>
      <c r="U108" s="634" t="s">
        <v>123</v>
      </c>
      <c r="V108" s="566" t="s">
        <v>123</v>
      </c>
      <c r="W108" s="567" t="s">
        <v>123</v>
      </c>
      <c r="X108" s="564" t="s">
        <v>123</v>
      </c>
      <c r="Y108" s="568" t="s">
        <v>123</v>
      </c>
      <c r="Z108" s="634" t="s">
        <v>123</v>
      </c>
      <c r="AA108" s="591" t="s">
        <v>123</v>
      </c>
      <c r="AB108" s="569" t="s">
        <v>123</v>
      </c>
      <c r="AC108" s="571" t="s">
        <v>123</v>
      </c>
      <c r="AD108" s="563">
        <v>9115.1200000000008</v>
      </c>
      <c r="AE108" s="564">
        <v>221</v>
      </c>
      <c r="AF108" s="565">
        <v>41.244886877828058</v>
      </c>
      <c r="AG108" s="566">
        <v>203</v>
      </c>
      <c r="AH108" s="567">
        <v>8.1447963800904979E-2</v>
      </c>
      <c r="AI108" s="564">
        <v>155</v>
      </c>
      <c r="AJ108" s="568">
        <v>0.23645320197044334</v>
      </c>
      <c r="AK108" s="565">
        <v>58.807225806451619</v>
      </c>
      <c r="AL108" s="591">
        <v>67</v>
      </c>
      <c r="AM108" s="569">
        <v>0.33004926108374383</v>
      </c>
      <c r="AN108" s="571">
        <v>136.04656716417912</v>
      </c>
      <c r="AO108" s="635"/>
      <c r="AP108" s="575"/>
      <c r="AQ108" s="636"/>
      <c r="AR108" s="637"/>
      <c r="AS108" s="638"/>
      <c r="AT108" s="579"/>
      <c r="AU108" s="580"/>
    </row>
    <row r="109" spans="1:47" ht="21" hidden="1" customHeight="1">
      <c r="A109" t="s">
        <v>363</v>
      </c>
      <c r="B109" t="s">
        <v>278</v>
      </c>
      <c r="C109" s="759"/>
      <c r="D109" s="561" t="s">
        <v>52</v>
      </c>
      <c r="E109" s="561" t="s">
        <v>145</v>
      </c>
      <c r="F109" s="561" t="s">
        <v>44</v>
      </c>
      <c r="G109" s="562" t="s">
        <v>60</v>
      </c>
      <c r="H109" s="563">
        <v>11061.22</v>
      </c>
      <c r="I109" s="564">
        <v>329</v>
      </c>
      <c r="J109" s="565">
        <v>33.620729483282673</v>
      </c>
      <c r="K109" s="566">
        <v>312</v>
      </c>
      <c r="L109" s="567">
        <v>5.1671732522796353E-2</v>
      </c>
      <c r="M109" s="564">
        <v>242</v>
      </c>
      <c r="N109" s="568">
        <v>0.22435897435897437</v>
      </c>
      <c r="O109" s="565">
        <v>45.70752066115702</v>
      </c>
      <c r="P109" s="564">
        <v>122</v>
      </c>
      <c r="Q109" s="569">
        <v>0.39102564102564102</v>
      </c>
      <c r="R109" s="570">
        <v>90.66573770491803</v>
      </c>
      <c r="S109" s="565" t="s">
        <v>123</v>
      </c>
      <c r="T109" s="564" t="s">
        <v>123</v>
      </c>
      <c r="U109" s="634" t="s">
        <v>123</v>
      </c>
      <c r="V109" s="566" t="s">
        <v>123</v>
      </c>
      <c r="W109" s="567" t="s">
        <v>123</v>
      </c>
      <c r="X109" s="564" t="s">
        <v>123</v>
      </c>
      <c r="Y109" s="568" t="s">
        <v>123</v>
      </c>
      <c r="Z109" s="634" t="s">
        <v>123</v>
      </c>
      <c r="AA109" s="591" t="s">
        <v>123</v>
      </c>
      <c r="AB109" s="569" t="s">
        <v>123</v>
      </c>
      <c r="AC109" s="571" t="s">
        <v>123</v>
      </c>
      <c r="AD109" s="563">
        <v>11061.22</v>
      </c>
      <c r="AE109" s="564">
        <v>329</v>
      </c>
      <c r="AF109" s="565">
        <v>33.620729483282673</v>
      </c>
      <c r="AG109" s="566">
        <v>312</v>
      </c>
      <c r="AH109" s="567">
        <v>5.1671732522796353E-2</v>
      </c>
      <c r="AI109" s="564">
        <v>242</v>
      </c>
      <c r="AJ109" s="568">
        <v>0.22435897435897437</v>
      </c>
      <c r="AK109" s="565">
        <v>45.70752066115702</v>
      </c>
      <c r="AL109" s="591">
        <v>122</v>
      </c>
      <c r="AM109" s="569">
        <v>0.39102564102564102</v>
      </c>
      <c r="AN109" s="571">
        <v>90.66573770491803</v>
      </c>
      <c r="AO109" s="635"/>
      <c r="AP109" s="575"/>
      <c r="AQ109" s="636"/>
      <c r="AR109" s="637"/>
      <c r="AS109" s="638"/>
      <c r="AT109" s="579"/>
      <c r="AU109" s="580"/>
    </row>
    <row r="110" spans="1:47" ht="21" hidden="1" customHeight="1">
      <c r="A110" t="s">
        <v>364</v>
      </c>
      <c r="B110" t="s">
        <v>280</v>
      </c>
      <c r="C110" s="759"/>
      <c r="D110" s="584" t="s">
        <v>40</v>
      </c>
      <c r="E110" s="584" t="s">
        <v>57</v>
      </c>
      <c r="F110" s="584" t="s">
        <v>57</v>
      </c>
      <c r="G110" s="585" t="s">
        <v>60</v>
      </c>
      <c r="H110" s="563">
        <v>21015.73</v>
      </c>
      <c r="I110" s="581">
        <v>950</v>
      </c>
      <c r="J110" s="582">
        <v>22.121821052631578</v>
      </c>
      <c r="K110" s="566">
        <v>693</v>
      </c>
      <c r="L110" s="567">
        <v>0.27052631578947367</v>
      </c>
      <c r="M110" s="564">
        <v>431</v>
      </c>
      <c r="N110" s="568">
        <v>0.37806637806637805</v>
      </c>
      <c r="O110" s="586">
        <v>48.760394431554523</v>
      </c>
      <c r="P110" s="564">
        <v>158</v>
      </c>
      <c r="Q110" s="569">
        <v>0.227994227994228</v>
      </c>
      <c r="R110" s="570">
        <v>133.01094936708861</v>
      </c>
      <c r="S110" s="565">
        <v>21015.73</v>
      </c>
      <c r="T110" s="564">
        <v>950</v>
      </c>
      <c r="U110" s="639">
        <v>22.121821052631578</v>
      </c>
      <c r="V110" s="566">
        <v>693</v>
      </c>
      <c r="W110" s="567">
        <v>0.27052631578947367</v>
      </c>
      <c r="X110" s="564">
        <v>431</v>
      </c>
      <c r="Y110" s="568">
        <v>0.37806637806637805</v>
      </c>
      <c r="Z110" s="640">
        <v>48.760394431554523</v>
      </c>
      <c r="AA110" s="591">
        <v>158</v>
      </c>
      <c r="AB110" s="569">
        <v>0.227994227994228</v>
      </c>
      <c r="AC110" s="571">
        <v>133.01094936708861</v>
      </c>
      <c r="AD110" s="563" t="s">
        <v>123</v>
      </c>
      <c r="AE110" s="564" t="s">
        <v>123</v>
      </c>
      <c r="AF110" s="565" t="s">
        <v>123</v>
      </c>
      <c r="AG110" s="566" t="s">
        <v>123</v>
      </c>
      <c r="AH110" s="567" t="s">
        <v>123</v>
      </c>
      <c r="AI110" s="564" t="s">
        <v>123</v>
      </c>
      <c r="AJ110" s="568" t="s">
        <v>123</v>
      </c>
      <c r="AK110" s="586" t="s">
        <v>123</v>
      </c>
      <c r="AL110" s="591" t="s">
        <v>123</v>
      </c>
      <c r="AM110" s="569" t="s">
        <v>123</v>
      </c>
      <c r="AN110" s="571" t="s">
        <v>123</v>
      </c>
      <c r="AO110" s="635"/>
      <c r="AP110" s="587"/>
      <c r="AQ110" s="636"/>
      <c r="AR110" s="641"/>
      <c r="AS110" s="638"/>
      <c r="AT110" s="579"/>
      <c r="AU110" s="580"/>
    </row>
    <row r="111" spans="1:47" ht="30" customHeight="1" thickBot="1">
      <c r="C111" s="593" t="s">
        <v>258</v>
      </c>
      <c r="D111" s="594"/>
      <c r="E111" s="594"/>
      <c r="F111" s="594"/>
      <c r="G111" s="594"/>
      <c r="H111" s="595">
        <f>SUMIF($G:$G,"tot",H:H)</f>
        <v>1446271.3991999999</v>
      </c>
      <c r="I111" s="596">
        <f>SUMIF($G:$G,"tot",I:I)</f>
        <v>75766</v>
      </c>
      <c r="J111" s="597">
        <v>24.028959882616117</v>
      </c>
      <c r="K111" s="598">
        <f>SUMIF($G:$G,"tot",K:K)</f>
        <v>44759</v>
      </c>
      <c r="L111" s="599">
        <v>0.316599716161932</v>
      </c>
      <c r="M111" s="596">
        <f>SUMIF($G:$G,"tot",M:M)</f>
        <v>26430</v>
      </c>
      <c r="N111" s="600">
        <v>0.28094752032663406</v>
      </c>
      <c r="O111" s="597">
        <v>48.89891571785207</v>
      </c>
      <c r="P111" s="596">
        <f>SUMIF($G:$G,"tot",P:P)</f>
        <v>6822</v>
      </c>
      <c r="Q111" s="601">
        <v>0.19615641828869099</v>
      </c>
      <c r="R111" s="602">
        <v>179.24922827920329</v>
      </c>
      <c r="S111" s="597">
        <f>SUMIF($G:$G,"tot",S:S)</f>
        <v>937725.52919999999</v>
      </c>
      <c r="T111" s="596">
        <f>SUMIF($G:$G,"tot",T:T)</f>
        <v>62698</v>
      </c>
      <c r="U111" s="644">
        <v>17.674687304792677</v>
      </c>
      <c r="V111" s="598">
        <f>SUMIF($G:$G,"tot",V:V)</f>
        <v>32371</v>
      </c>
      <c r="W111" s="599">
        <v>0.42208535271943998</v>
      </c>
      <c r="X111" s="596">
        <f>SUMIF($G:$G,"tot",X:X)</f>
        <v>16361</v>
      </c>
      <c r="Y111" s="600">
        <v>0.34459262710383787</v>
      </c>
      <c r="Z111" s="644">
        <v>46.663436040518931</v>
      </c>
      <c r="AA111" s="596">
        <f>SUMIF($G:$G,"tot",AA:AA)</f>
        <v>2694</v>
      </c>
      <c r="AB111" s="601">
        <v>0.1075068429328519</v>
      </c>
      <c r="AC111" s="603">
        <v>284.48012416034669</v>
      </c>
      <c r="AD111" s="595">
        <f>SUMIF($G:$G,"tot",AD:AD)</f>
        <v>508545.87</v>
      </c>
      <c r="AE111" s="596">
        <f>SUMIF($G:$G,"tot",AE:AE)</f>
        <v>13068</v>
      </c>
      <c r="AF111" s="597">
        <v>39.946517157069387</v>
      </c>
      <c r="AG111" s="598">
        <f>SUMIF($G:$G,"tot",AG:AG)</f>
        <v>12388</v>
      </c>
      <c r="AH111" s="599">
        <v>5.2356462355619256E-2</v>
      </c>
      <c r="AI111" s="596">
        <f>SUMIF($G:$G,"tot",AI:AI)</f>
        <v>10069</v>
      </c>
      <c r="AJ111" s="600">
        <v>0.18371886120996442</v>
      </c>
      <c r="AK111" s="597">
        <v>51.6409416893733</v>
      </c>
      <c r="AL111" s="596">
        <f>SUMIF($G:$G,"tot",AL:AL)</f>
        <v>4128</v>
      </c>
      <c r="AM111" s="601">
        <v>0.33158362989323842</v>
      </c>
      <c r="AN111" s="603">
        <v>127.12788838207675</v>
      </c>
      <c r="AO111" s="645">
        <v>0.89429999999999998</v>
      </c>
      <c r="AP111" s="601">
        <v>0.6956</v>
      </c>
      <c r="AQ111" s="646">
        <v>0.72340000000000004</v>
      </c>
      <c r="AR111" s="604">
        <v>0.72230000000000005</v>
      </c>
      <c r="AS111" s="647">
        <v>2.6</v>
      </c>
      <c r="AT111" s="605"/>
      <c r="AU111" s="606"/>
    </row>
    <row r="112" spans="1:47">
      <c r="J112"/>
      <c r="U112"/>
      <c r="AO112" s="20"/>
      <c r="AP112" s="20"/>
      <c r="AQ112" s="20"/>
      <c r="AR112" s="20"/>
      <c r="AS112" s="648"/>
    </row>
    <row r="113" spans="8:45">
      <c r="H113" s="463">
        <f>S113+AD113</f>
        <v>1033696.1792</v>
      </c>
      <c r="I113" s="464">
        <f>T113+AE113</f>
        <v>42780</v>
      </c>
      <c r="J113" s="463">
        <f t="shared" ref="J113" si="0">IFERROR(H113/I113,"-")</f>
        <v>24.163071042543244</v>
      </c>
      <c r="K113" s="464">
        <f>V113+AG113</f>
        <v>29559</v>
      </c>
      <c r="L113" s="183">
        <f t="shared" ref="L113" si="1">IFERROR((I113-K113)/I113,"-")</f>
        <v>0.30904628330995793</v>
      </c>
      <c r="M113" s="464">
        <f>X113+AI113</f>
        <v>21323</v>
      </c>
      <c r="N113" s="183">
        <f t="shared" ref="N113" si="2">IFERROR((K113-M113)/K113,"-")</f>
        <v>0.27862918231333944</v>
      </c>
      <c r="O113" s="463">
        <f t="shared" ref="O113" si="3">IFERROR(H113/M113,"-")</f>
        <v>48.477989926370583</v>
      </c>
      <c r="P113" s="464">
        <f>AA113+AL113</f>
        <v>5974</v>
      </c>
      <c r="Q113" s="183">
        <f>IFERROR(P113/K113,"-")</f>
        <v>0.20210426604418283</v>
      </c>
      <c r="R113" s="463">
        <f t="shared" ref="R113" si="4">IFERROR(H113/P113,"-")</f>
        <v>173.03250405088718</v>
      </c>
      <c r="S113" s="463">
        <f>S111-S87</f>
        <v>525150.30920000002</v>
      </c>
      <c r="T113" s="464">
        <f>T111-T87</f>
        <v>29712</v>
      </c>
      <c r="U113" s="463">
        <f t="shared" ref="U113" si="5">IFERROR(S113/T113,"-")</f>
        <v>17.674687304792677</v>
      </c>
      <c r="V113" s="464">
        <f>V111-V87</f>
        <v>17171</v>
      </c>
      <c r="W113" s="183">
        <f t="shared" ref="W113" si="6">IFERROR((T113-V113)/T113,"-")</f>
        <v>0.42208535271943998</v>
      </c>
      <c r="X113" s="464">
        <f>X111-X87</f>
        <v>11254</v>
      </c>
      <c r="Y113" s="183">
        <f t="shared" ref="Y113" si="7">IFERROR((V113-X113)/V113,"-")</f>
        <v>0.34459262710383787</v>
      </c>
      <c r="Z113" s="463">
        <f t="shared" ref="Z113" si="8">IFERROR(S113/X113,"-")</f>
        <v>46.663436040518931</v>
      </c>
      <c r="AA113" s="464">
        <f>AA111-AA87</f>
        <v>1846</v>
      </c>
      <c r="AB113" s="183">
        <f>IFERROR(AA113/V113,"-")</f>
        <v>0.1075068429328519</v>
      </c>
      <c r="AC113" s="463">
        <f t="shared" ref="AC113" si="9">IFERROR(S113/AA113,"-")</f>
        <v>284.48012416034669</v>
      </c>
      <c r="AD113" s="463">
        <f>AD111</f>
        <v>508545.87</v>
      </c>
      <c r="AE113" s="464">
        <f>AE111</f>
        <v>13068</v>
      </c>
      <c r="AF113" s="463">
        <f t="shared" ref="AF113" si="10">IFERROR(AD113/AE113,"-")</f>
        <v>38.915355831037651</v>
      </c>
      <c r="AG113" s="464">
        <f>AG111</f>
        <v>12388</v>
      </c>
      <c r="AH113" s="183">
        <f t="shared" ref="AH113" si="11">IFERROR((AE113-AG113)/AE113,"-")</f>
        <v>5.2035506580961129E-2</v>
      </c>
      <c r="AI113" s="464">
        <f>AI111</f>
        <v>10069</v>
      </c>
      <c r="AJ113" s="183">
        <f t="shared" ref="AJ113" si="12">IFERROR((AG113-AI113)/AG113,"-")</f>
        <v>0.18719728769777202</v>
      </c>
      <c r="AK113" s="463">
        <f t="shared" ref="AK113" si="13">IFERROR(AD113/AI113,"-")</f>
        <v>50.506094944880324</v>
      </c>
      <c r="AL113" s="464">
        <f>AL111</f>
        <v>4128</v>
      </c>
      <c r="AM113" s="183">
        <f>IFERROR(AL113/AG113,"-")</f>
        <v>0.33322570229254117</v>
      </c>
      <c r="AN113" s="463">
        <f t="shared" ref="AN113" si="14">IFERROR(AD113/AL113,"-")</f>
        <v>123.19425145348838</v>
      </c>
      <c r="AS113"/>
    </row>
    <row r="114" spans="8:45">
      <c r="H114"/>
      <c r="I114"/>
      <c r="J114"/>
      <c r="K114"/>
      <c r="L114"/>
      <c r="M114"/>
      <c r="N114"/>
      <c r="S114" s="417"/>
      <c r="T114"/>
      <c r="U114"/>
      <c r="W114"/>
      <c r="AB114"/>
      <c r="AS114"/>
    </row>
    <row r="115" spans="8:45">
      <c r="H115"/>
      <c r="I115"/>
      <c r="J115"/>
      <c r="K115"/>
      <c r="L115"/>
      <c r="M115"/>
      <c r="N115"/>
      <c r="R115" s="461" t="s">
        <v>572</v>
      </c>
      <c r="S115" s="730">
        <f>S3-S87</f>
        <v>552318.33623333136</v>
      </c>
      <c r="T115" s="731">
        <f>S115/U115</f>
        <v>54993.091447136161</v>
      </c>
      <c r="U115" s="730">
        <f>U3</f>
        <v>10.043413121523905</v>
      </c>
      <c r="V115" s="731">
        <f>T115*(1-W115)</f>
        <v>34095.716697224423</v>
      </c>
      <c r="W115" s="732">
        <f>W3</f>
        <v>0.38</v>
      </c>
      <c r="X115" s="731">
        <f>V115*(1-Y115)</f>
        <v>22969.566596863882</v>
      </c>
      <c r="Y115" s="733">
        <f>Y3</f>
        <v>0.32632105079833296</v>
      </c>
      <c r="Z115" s="730">
        <f>Z3</f>
        <v>24.045657714270561</v>
      </c>
      <c r="AA115" s="731">
        <f>V115*AB115</f>
        <v>5072.4671596119415</v>
      </c>
      <c r="AB115" s="732">
        <f>AB3</f>
        <v>0.14877138980993668</v>
      </c>
      <c r="AC115" s="730">
        <f>S115/AA115</f>
        <v>108.88554205555178</v>
      </c>
      <c r="AE115"/>
      <c r="AG115"/>
      <c r="AH115"/>
      <c r="AI115"/>
      <c r="AJ115"/>
      <c r="AL115" s="607"/>
      <c r="AS115"/>
    </row>
    <row r="116" spans="8:45">
      <c r="H116"/>
      <c r="I116"/>
      <c r="J116"/>
      <c r="K116"/>
      <c r="L116"/>
      <c r="M116"/>
      <c r="N116"/>
      <c r="T116"/>
      <c r="U116"/>
      <c r="W116"/>
      <c r="AB116"/>
      <c r="AC116" s="462" t="s">
        <v>259</v>
      </c>
      <c r="AD116" s="463">
        <f>SUMIF($E:$E,"MCB",$AD:$AD)</f>
        <v>7328.76</v>
      </c>
      <c r="AE116" s="464">
        <f>SUMIF($E:$E,"MCB",$AE:$AE)</f>
        <v>43</v>
      </c>
      <c r="AF116" s="463">
        <f>IFERROR(AD116/AE116,"-")</f>
        <v>170.43627906976744</v>
      </c>
      <c r="AG116" s="464">
        <f>SUMIF($E:$E,"MCB",$AG:$AG)</f>
        <v>50</v>
      </c>
      <c r="AH116" s="183">
        <f>IFERROR((AE116-AG116)/AE116,"-")</f>
        <v>-0.16279069767441862</v>
      </c>
      <c r="AI116" s="464">
        <f>SUMIF($E:$E,"MCB",$AI:$AI)</f>
        <v>47</v>
      </c>
      <c r="AJ116" s="183">
        <f t="shared" ref="AJ116:AJ117" si="15">IFERROR((AG116-AI116)/AG116,"-")</f>
        <v>0.06</v>
      </c>
      <c r="AK116" s="463">
        <f t="shared" ref="AK116:AK117" si="16">IFERROR(AD116/AI116,"-")</f>
        <v>155.93106382978723</v>
      </c>
      <c r="AL116" s="464">
        <f>SUMIF($E:$E,"MCB",$AL:$AL)</f>
        <v>18</v>
      </c>
      <c r="AM116" s="183">
        <f>IFERROR(AL116/AG116,"-")</f>
        <v>0.36</v>
      </c>
      <c r="AN116" s="463">
        <f t="shared" ref="AN116:AN117" si="17">IFERROR(AD116/AL116,"-")</f>
        <v>407.15333333333336</v>
      </c>
      <c r="AS116"/>
    </row>
    <row r="117" spans="8:45">
      <c r="H117"/>
      <c r="I117"/>
      <c r="J117"/>
      <c r="K117"/>
      <c r="L117"/>
      <c r="M117"/>
      <c r="N117"/>
      <c r="T117"/>
      <c r="U117"/>
      <c r="W117"/>
      <c r="AB117"/>
      <c r="AC117" s="462" t="s">
        <v>260</v>
      </c>
      <c r="AD117" s="463">
        <f>AD113-AD116</f>
        <v>501217.11</v>
      </c>
      <c r="AE117" s="464">
        <f>AE113-AE116</f>
        <v>13025</v>
      </c>
      <c r="AF117" s="463">
        <f>IFERROR(AD117/AE117,"-")</f>
        <v>38.481160076775431</v>
      </c>
      <c r="AG117" s="464">
        <f>AG113-AG116</f>
        <v>12338</v>
      </c>
      <c r="AH117" s="183">
        <f>IFERROR((AE117-AG117)/AE117,"-")</f>
        <v>5.2744721689059498E-2</v>
      </c>
      <c r="AI117" s="464">
        <f>AI113-AI116</f>
        <v>10022</v>
      </c>
      <c r="AJ117" s="183">
        <f t="shared" si="15"/>
        <v>0.1877127573350624</v>
      </c>
      <c r="AK117" s="463">
        <f t="shared" si="16"/>
        <v>50.011685292356816</v>
      </c>
      <c r="AL117" s="464">
        <f>AL113-AL116</f>
        <v>4110</v>
      </c>
      <c r="AM117" s="183">
        <f>IFERROR(AL117/AG117,"-")</f>
        <v>0.33311719889771441</v>
      </c>
      <c r="AN117" s="463">
        <f t="shared" si="17"/>
        <v>121.95063503649635</v>
      </c>
    </row>
    <row r="118" spans="8:45">
      <c r="U118"/>
      <c r="AC118" s="462"/>
    </row>
    <row r="119" spans="8:45">
      <c r="U119"/>
      <c r="AC119" s="462" t="s">
        <v>261</v>
      </c>
      <c r="AD119" s="463">
        <f>SUMIFS(AD:AD,$E:$E,"Brand",$G:$G,"Yandex Direct")</f>
        <v>40079.369999999995</v>
      </c>
      <c r="AE119" s="464">
        <f>SUMIFS(AE:AE,$E:$E,"Brand",$G:$G,"Yandex Direct")</f>
        <v>1488</v>
      </c>
      <c r="AF119" s="463">
        <f t="shared" ref="AF119:AF120" si="18">IFERROR(AD119/AE119,"-")</f>
        <v>26.935060483870963</v>
      </c>
      <c r="AG119" s="464">
        <f>SUMIFS(AG:AG,$E:$E,"Brand",$G:$G,"Yandex Direct")</f>
        <v>1498</v>
      </c>
      <c r="AH119" s="183">
        <f t="shared" ref="AH119:AH120" si="19">IFERROR((AE119-AG119)/AE119,"-")</f>
        <v>-6.7204301075268818E-3</v>
      </c>
      <c r="AI119" s="464">
        <f>SUMIFS(AI:AI,$E:$E,"Brand",$G:$G,"Yandex Direct")</f>
        <v>1177</v>
      </c>
      <c r="AJ119" s="183">
        <f t="shared" ref="AJ119:AJ120" si="20">IFERROR((AG119-AI119)/AG119,"-")</f>
        <v>0.21428571428571427</v>
      </c>
      <c r="AK119" s="463">
        <f t="shared" ref="AK119:AK120" si="21">IFERROR(AD119/AI119,"-")</f>
        <v>34.052141036533556</v>
      </c>
      <c r="AL119" s="464">
        <f>SUMIFS(AL:AL,$E:$E,"Brand",$G:$G,"Yandex Direct")</f>
        <v>558</v>
      </c>
      <c r="AM119" s="183">
        <f>IFERROR(AL119/AG119,"-")</f>
        <v>0.37249666221628841</v>
      </c>
      <c r="AN119" s="463">
        <f t="shared" ref="AN119:AN120" si="22">IFERROR(AD119/AL119,"-")</f>
        <v>71.826827956989234</v>
      </c>
    </row>
    <row r="120" spans="8:45">
      <c r="U120"/>
      <c r="AC120" s="462" t="s">
        <v>262</v>
      </c>
      <c r="AD120" s="463">
        <f>SUMIFS(AD:AD,$E:$E,"Product",$G:$G,"Yandex Direct")</f>
        <v>155345.62</v>
      </c>
      <c r="AE120" s="464">
        <f>SUMIFS(AE:AE,$E:$E,"Product",$G:$G,"Yandex Direct")</f>
        <v>4143</v>
      </c>
      <c r="AF120" s="463">
        <f t="shared" si="18"/>
        <v>37.495925657735938</v>
      </c>
      <c r="AG120" s="464">
        <f>SUMIFS(AG:AG,$E:$E,"Product",$G:$G,"Yandex Direct")</f>
        <v>3922</v>
      </c>
      <c r="AH120" s="183">
        <f t="shared" si="19"/>
        <v>5.3342988172821626E-2</v>
      </c>
      <c r="AI120" s="464">
        <f>SUMIFS(AI:AI,$E:$E,"Product",$G:$G,"Yandex Direct")</f>
        <v>3170</v>
      </c>
      <c r="AJ120" s="183">
        <f t="shared" si="20"/>
        <v>0.19173890872004079</v>
      </c>
      <c r="AK120" s="463">
        <f t="shared" si="21"/>
        <v>49.004927444794951</v>
      </c>
      <c r="AL120" s="464">
        <f>SUMIFS(AL:AL,$E:$E,"Product",$G:$G,"Yandex Direct")</f>
        <v>1199</v>
      </c>
      <c r="AM120" s="183">
        <f>IFERROR(AL120/AG120,"-")</f>
        <v>0.30571137174910762</v>
      </c>
      <c r="AN120" s="463">
        <f t="shared" si="22"/>
        <v>129.56265221017514</v>
      </c>
    </row>
    <row r="121" spans="8:45">
      <c r="U121"/>
      <c r="AC121" s="462"/>
      <c r="AL121" s="607"/>
    </row>
    <row r="122" spans="8:45">
      <c r="U122"/>
      <c r="AC122" s="462" t="s">
        <v>263</v>
      </c>
      <c r="AD122" s="463">
        <f>SUMIFS(AD:AD,$E:$E,"Brand",$G:$G,"Google Adwords")</f>
        <v>63846.110000000008</v>
      </c>
      <c r="AE122" s="464">
        <f>SUMIFS(AE:AE,$E:$E,"Brand",$G:$G,"Google Adwords")</f>
        <v>2049</v>
      </c>
      <c r="AF122" s="463">
        <f t="shared" ref="AF122:AF123" si="23">IFERROR(AD122/AE122,"-")</f>
        <v>31.159643728648124</v>
      </c>
      <c r="AG122" s="464">
        <f>SUMIFS(AG:AG,$E:$E,"Brand",$G:$G,"Google Adwords")</f>
        <v>1932</v>
      </c>
      <c r="AH122" s="183">
        <f>IFERROR((AE122-AG122)/AE122,"-")</f>
        <v>5.7101024890190338E-2</v>
      </c>
      <c r="AI122" s="464">
        <f>SUMIFS(AI:AI,$E:$E,"Brand",$G:$G,"Google Adwords")</f>
        <v>1484</v>
      </c>
      <c r="AJ122" s="183">
        <f t="shared" ref="AJ122:AJ123" si="24">IFERROR((AG122-AI122)/AG122,"-")</f>
        <v>0.2318840579710145</v>
      </c>
      <c r="AK122" s="463">
        <f t="shared" ref="AK122:AK123" si="25">IFERROR(AD122/AI122,"-")</f>
        <v>43.022985175202159</v>
      </c>
      <c r="AL122" s="464">
        <f>SUMIFS(AL:AL,$E:$E,"Brand",$G:$G,"Google Adwords")</f>
        <v>593</v>
      </c>
      <c r="AM122" s="183">
        <f>IFERROR(AL122/AG122,"-")</f>
        <v>0.30693581780538304</v>
      </c>
      <c r="AN122" s="463">
        <f t="shared" ref="AN122:AN123" si="26">IFERROR(AD122/AL122,"-")</f>
        <v>107.66629005059023</v>
      </c>
    </row>
    <row r="123" spans="8:45">
      <c r="U123"/>
      <c r="AC123" s="462" t="s">
        <v>264</v>
      </c>
      <c r="AD123" s="463">
        <f>SUMIFS(AD:AD,$E:$E,"Product",$G:$G,"Google Adwords")</f>
        <v>241946.00999999998</v>
      </c>
      <c r="AE123" s="464">
        <f>SUMIFS(AE:AE,$E:$E,"Product",$G:$G,"Google Adwords")</f>
        <v>5345</v>
      </c>
      <c r="AF123" s="463">
        <f t="shared" si="23"/>
        <v>45.265857811038352</v>
      </c>
      <c r="AG123" s="464">
        <f>SUMIFS(AG:AG,$E:$E,"Product",$G:$G,"Google Adwords")</f>
        <v>4986</v>
      </c>
      <c r="AH123" s="183">
        <f>IFERROR((AE123-AG123)/AE123,"-")</f>
        <v>6.7165575304022451E-2</v>
      </c>
      <c r="AI123" s="464">
        <f>SUMIFS(AI:AI,$E:$E,"Product",$G:$G,"Google Adwords")</f>
        <v>4191</v>
      </c>
      <c r="AJ123" s="183">
        <f t="shared" si="24"/>
        <v>0.15944645006016847</v>
      </c>
      <c r="AK123" s="463">
        <f t="shared" si="25"/>
        <v>57.729899785254112</v>
      </c>
      <c r="AL123" s="464">
        <f>SUMIFS(AL:AL,$E:$E,"Product",$G:$G,"Google Adwords")</f>
        <v>1760</v>
      </c>
      <c r="AM123" s="183">
        <f>IFERROR(AL123/AG123,"-")</f>
        <v>0.35298836742880063</v>
      </c>
      <c r="AN123" s="463">
        <f t="shared" si="26"/>
        <v>137.46932386363636</v>
      </c>
    </row>
    <row r="124" spans="8:45">
      <c r="R124" s="462" t="s">
        <v>265</v>
      </c>
      <c r="S124" s="463">
        <f>SUMIFS(S:S,$E:$E,"Network",$G:$G,"Yandex Direct")-S90</f>
        <v>158936.94</v>
      </c>
      <c r="T124" s="464">
        <f>SUMIFS(T:T,$E:$E,"Network",$G:$G,"Yandex Direct")-T90</f>
        <v>13099</v>
      </c>
      <c r="U124" s="463">
        <f t="shared" ref="U124:U125" si="27">IFERROR(S124/T124,"-")</f>
        <v>12.133517062371174</v>
      </c>
      <c r="V124" s="464">
        <f>SUMIFS(V:V,$E:$E,"Network",$G:$G,"Yandex Direct")-V90</f>
        <v>8042</v>
      </c>
      <c r="W124" s="183">
        <f t="shared" ref="W124" si="28">IFERROR((T124-V124)/T124,"-")</f>
        <v>0.38606000458050233</v>
      </c>
      <c r="X124" s="464">
        <f>SUMIFS(X:X,$E:$E,"Network",$G:$G,"Yandex Direct")-X90</f>
        <v>5534</v>
      </c>
      <c r="Y124" s="183">
        <f t="shared" ref="Y124:Y125" si="29">IFERROR((V124-X124)/V124,"-")</f>
        <v>0.31186272071623972</v>
      </c>
      <c r="Z124" s="463">
        <f t="shared" ref="Z124:Z125" si="30">IFERROR(S124/X124,"-")</f>
        <v>28.720083122515359</v>
      </c>
      <c r="AA124" s="464">
        <f>SUMIFS(AA:AA,$E:$E,"Network",$G:$G,"Yandex Direct")-AA90</f>
        <v>184</v>
      </c>
      <c r="AB124" s="183">
        <f>IFERROR(AA124/V124,"-")</f>
        <v>2.2879880626709773E-2</v>
      </c>
      <c r="AC124" s="463">
        <f t="shared" ref="AC124:AC125" si="31">IFERROR(S124/AA124,"-")</f>
        <v>863.78771739130434</v>
      </c>
    </row>
    <row r="125" spans="8:45">
      <c r="R125" s="462" t="s">
        <v>266</v>
      </c>
      <c r="S125" s="463">
        <f>SUMIFS(S:S,$E:$E,"Network",$G:$G,"Google Adwords")-S94</f>
        <v>366213.36919999996</v>
      </c>
      <c r="T125" s="464">
        <f>SUMIFS(T:T,$E:$E,"Network",$G:$G,"Google Adwords")-T94</f>
        <v>16613</v>
      </c>
      <c r="U125" s="463">
        <f t="shared" si="27"/>
        <v>22.043783133690482</v>
      </c>
      <c r="V125" s="464">
        <f>SUMIFS(V:V,$E:$E,"Network",$G:$G,"Google Adwords")-V94</f>
        <v>9129</v>
      </c>
      <c r="W125" s="183">
        <f>IFERROR((T125-V125)/T125,"-")</f>
        <v>0.45049057966652623</v>
      </c>
      <c r="X125" s="464">
        <f>SUMIFS(X:X,$E:$E,"Network",$G:$G,"Google Adwords")-X94</f>
        <v>5720</v>
      </c>
      <c r="Y125" s="183">
        <f t="shared" si="29"/>
        <v>0.37342534779274839</v>
      </c>
      <c r="Z125" s="463">
        <f t="shared" si="30"/>
        <v>64.023316293706287</v>
      </c>
      <c r="AA125" s="464">
        <f>SUMIFS(AA:AA,$E:$E,"Network",$G:$G,"Google Adwords")-AA94</f>
        <v>1662</v>
      </c>
      <c r="AB125" s="183">
        <f>IFERROR(AA125/V125,"-")</f>
        <v>0.18205718041406507</v>
      </c>
      <c r="AC125" s="463">
        <f t="shared" si="31"/>
        <v>220.34498748495787</v>
      </c>
    </row>
    <row r="126" spans="8:45">
      <c r="U126"/>
    </row>
    <row r="127" spans="8:45">
      <c r="U127"/>
      <c r="AC127" s="462" t="s">
        <v>265</v>
      </c>
      <c r="AD127" s="463">
        <f>AD119+AD120</f>
        <v>195424.99</v>
      </c>
      <c r="AE127" s="464">
        <f>AE119+AE120</f>
        <v>5631</v>
      </c>
      <c r="AF127" s="463">
        <f t="shared" ref="AF127:AF128" si="32">IFERROR(AD127/AE127,"-")</f>
        <v>34.705201562777482</v>
      </c>
      <c r="AG127" s="464">
        <f>AG119+AG120</f>
        <v>5420</v>
      </c>
      <c r="AH127" s="183">
        <f t="shared" ref="AH127" si="33">IFERROR((AE127-AG127)/AE127,"-")</f>
        <v>3.7471141893091815E-2</v>
      </c>
      <c r="AI127" s="464">
        <f>AI119+AI120</f>
        <v>4347</v>
      </c>
      <c r="AJ127" s="183">
        <f t="shared" ref="AJ127:AJ128" si="34">IFERROR((AG127-AI127)/AG127,"-")</f>
        <v>0.19797047970479706</v>
      </c>
      <c r="AK127" s="463">
        <f t="shared" ref="AK127:AK128" si="35">IFERROR(AD127/AI127,"-")</f>
        <v>44.956289394985042</v>
      </c>
      <c r="AL127" s="464">
        <f>AL119+AL120</f>
        <v>1757</v>
      </c>
      <c r="AM127" s="183">
        <f>IFERROR(AL127/AG127,"-")</f>
        <v>0.32416974169741697</v>
      </c>
      <c r="AN127" s="463">
        <f t="shared" ref="AN127:AN128" si="36">IFERROR(AD127/AL127,"-")</f>
        <v>111.22651678998292</v>
      </c>
    </row>
    <row r="128" spans="8:45">
      <c r="U128"/>
      <c r="AC128" s="462" t="s">
        <v>266</v>
      </c>
      <c r="AD128" s="463">
        <f>AD122+AD123</f>
        <v>305792.12</v>
      </c>
      <c r="AE128" s="464">
        <f>AE122+AE123</f>
        <v>7394</v>
      </c>
      <c r="AF128" s="463">
        <f t="shared" si="32"/>
        <v>41.356791993508246</v>
      </c>
      <c r="AG128" s="464">
        <f>AG122+AG123</f>
        <v>6918</v>
      </c>
      <c r="AH128" s="183">
        <f>IFERROR((AE128-AG128)/AE128,"-")</f>
        <v>6.4376521503922104E-2</v>
      </c>
      <c r="AI128" s="464">
        <f>AI122+AI123</f>
        <v>5675</v>
      </c>
      <c r="AJ128" s="183">
        <f t="shared" si="34"/>
        <v>0.17967620699624168</v>
      </c>
      <c r="AK128" s="463">
        <f t="shared" si="35"/>
        <v>53.884074008810572</v>
      </c>
      <c r="AL128" s="464">
        <f>AL122+AL123</f>
        <v>2353</v>
      </c>
      <c r="AM128" s="183">
        <f>IFERROR(AL128/AG128,"-")</f>
        <v>0.34012720439433364</v>
      </c>
      <c r="AN128" s="463">
        <f t="shared" si="36"/>
        <v>129.95840203994899</v>
      </c>
    </row>
    <row r="129" spans="8:33">
      <c r="H129"/>
      <c r="I129"/>
      <c r="K129"/>
      <c r="M129"/>
      <c r="N129"/>
      <c r="T129"/>
      <c r="V129"/>
      <c r="X129"/>
      <c r="Y129"/>
      <c r="AB129"/>
      <c r="AG129"/>
    </row>
    <row r="130" spans="8:33">
      <c r="H130"/>
      <c r="I130"/>
      <c r="K130"/>
      <c r="M130"/>
      <c r="N130"/>
      <c r="T130"/>
      <c r="V130"/>
      <c r="X130"/>
      <c r="Y130"/>
      <c r="AB130"/>
      <c r="AG130"/>
    </row>
    <row r="131" spans="8:33">
      <c r="H131"/>
      <c r="I131"/>
      <c r="K131"/>
      <c r="M131"/>
      <c r="N131"/>
      <c r="T131"/>
      <c r="V131"/>
      <c r="X131"/>
      <c r="Y131"/>
      <c r="AB131"/>
      <c r="AG131"/>
    </row>
    <row r="132" spans="8:33">
      <c r="H132"/>
      <c r="I132"/>
      <c r="K132"/>
      <c r="M132"/>
      <c r="N132"/>
      <c r="T132"/>
      <c r="V132"/>
      <c r="X132"/>
      <c r="Y132"/>
      <c r="AB132"/>
      <c r="AG132"/>
    </row>
    <row r="133" spans="8:33">
      <c r="H133"/>
      <c r="I133"/>
      <c r="K133"/>
      <c r="M133"/>
      <c r="N133"/>
      <c r="T133"/>
      <c r="V133"/>
      <c r="X133"/>
      <c r="Y133"/>
      <c r="AB133"/>
      <c r="AG133"/>
    </row>
  </sheetData>
  <mergeCells count="17">
    <mergeCell ref="C71:C78"/>
    <mergeCell ref="C79:C86"/>
    <mergeCell ref="C87:C94"/>
    <mergeCell ref="C95:C102"/>
    <mergeCell ref="C103:C110"/>
    <mergeCell ref="C63:C70"/>
    <mergeCell ref="H1:R1"/>
    <mergeCell ref="S1:AC1"/>
    <mergeCell ref="AD1:AS1"/>
    <mergeCell ref="AT3:AU4"/>
    <mergeCell ref="C7:C14"/>
    <mergeCell ref="C15:C22"/>
    <mergeCell ref="C23:C30"/>
    <mergeCell ref="C31:C38"/>
    <mergeCell ref="C39:C46"/>
    <mergeCell ref="C47:C54"/>
    <mergeCell ref="C55:C62"/>
  </mergeCells>
  <conditionalFormatting sqref="AB7 AB15 AB23 AB31 AB39 AB47 AB55 AB63 AB71 AB79 AB87 AB95 AB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 AM15 AM23 AM31 AM39 AM47 AM55 AM63 AM71 AM79 AM87 AM95 AM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O15 AO23 AO31 AO39 AO47 AO55 AO63 AO71 AO79 AO87 AO95 AO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 AC15 AC23 AC31 AC39 AC47 AC55 AC63 AC71 AC79 AC87 AC95 AC10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5 AN23 AN31 AN39 AN47 AN55 AN63 AN71 AN79 AN87 AN95 AN10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7 R23 R31 R39 R47 R55 R63 R71 R79 R87 R95 R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7 Q23 Q31 Q39 Q47 Q55 Q63 Q71 Q79 Q87 Q95 Q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311D-B0BE-42FB-9FD7-3EC2FF38F2F1}">
  <dimension ref="A1:AU128"/>
  <sheetViews>
    <sheetView topLeftCell="C1" zoomScale="70" zoomScaleNormal="70" workbookViewId="0">
      <pane xSplit="5" ySplit="6" topLeftCell="L87" activePane="bottomRight" state="frozen"/>
      <selection activeCell="C1" sqref="C1"/>
      <selection pane="topRight" activeCell="H1" sqref="H1"/>
      <selection pane="bottomLeft" activeCell="C7" sqref="C7"/>
      <selection pane="bottomRight" activeCell="Y120" sqref="Y120"/>
    </sheetView>
  </sheetViews>
  <sheetFormatPr defaultColWidth="8.77734375" defaultRowHeight="14.4"/>
  <cols>
    <col min="1" max="1" width="8.77734375" hidden="1" customWidth="1"/>
    <col min="2" max="2" width="37.77734375" hidden="1" customWidth="1"/>
    <col min="3" max="3" width="17.77734375" customWidth="1"/>
    <col min="4" max="7" width="17.77734375" hidden="1" customWidth="1"/>
    <col min="8" max="8" width="12.77734375" style="18" customWidth="1"/>
    <col min="9" max="9" width="12.77734375" style="607" customWidth="1"/>
    <col min="10" max="10" width="9.77734375" style="607" customWidth="1"/>
    <col min="11" max="11" width="12.77734375" style="607" customWidth="1"/>
    <col min="12" max="12" width="9.77734375" style="607" customWidth="1"/>
    <col min="13" max="13" width="12.77734375" style="607" customWidth="1"/>
    <col min="14" max="14" width="9.77734375" style="607" customWidth="1"/>
    <col min="15" max="15" width="9.77734375" customWidth="1"/>
    <col min="16" max="16" width="12.77734375" customWidth="1"/>
    <col min="17" max="18" width="9.77734375" customWidth="1"/>
    <col min="19" max="19" width="12.77734375" customWidth="1"/>
    <col min="20" max="20" width="12.77734375" style="607" customWidth="1"/>
    <col min="21" max="21" width="9.77734375" customWidth="1"/>
    <col min="22" max="22" width="12.77734375" style="607" customWidth="1"/>
    <col min="23" max="23" width="9.77734375" style="607" customWidth="1"/>
    <col min="24" max="24" width="12.77734375" style="607" customWidth="1"/>
    <col min="25" max="25" width="9.77734375" style="607" customWidth="1"/>
    <col min="26" max="26" width="9.77734375" customWidth="1"/>
    <col min="27" max="27" width="12.77734375" customWidth="1"/>
    <col min="28" max="28" width="9.77734375" style="608" customWidth="1"/>
    <col min="29" max="29" width="9.77734375" customWidth="1"/>
    <col min="30" max="30" width="12.77734375" customWidth="1"/>
    <col min="31" max="31" width="12.77734375" style="607" customWidth="1"/>
    <col min="32" max="32" width="9.77734375" customWidth="1"/>
    <col min="33" max="33" width="12.77734375" style="607" customWidth="1"/>
    <col min="34" max="34" width="9.77734375" style="607" customWidth="1"/>
    <col min="35" max="35" width="12.77734375" style="607" customWidth="1"/>
    <col min="36" max="36" width="9.77734375" style="607" customWidth="1"/>
    <col min="37" max="37" width="9.77734375" customWidth="1"/>
    <col min="38" max="38" width="12.77734375" customWidth="1"/>
    <col min="39" max="44" width="9.77734375" customWidth="1"/>
    <col min="45" max="45" width="9.77734375" style="18" customWidth="1"/>
    <col min="46" max="46" width="44.77734375" customWidth="1"/>
    <col min="47" max="47" width="52.21875" customWidth="1"/>
  </cols>
  <sheetData>
    <row r="1" spans="1:47" s="417" customFormat="1" ht="22.2" customHeight="1" thickBot="1">
      <c r="C1" s="467"/>
      <c r="D1" s="468" t="s">
        <v>7</v>
      </c>
      <c r="E1" s="469" t="s">
        <v>8</v>
      </c>
      <c r="F1" s="469" t="s">
        <v>10</v>
      </c>
      <c r="G1" s="470" t="s">
        <v>9</v>
      </c>
      <c r="H1" s="761" t="s">
        <v>124</v>
      </c>
      <c r="I1" s="762"/>
      <c r="J1" s="762"/>
      <c r="K1" s="762"/>
      <c r="L1" s="762"/>
      <c r="M1" s="762"/>
      <c r="N1" s="762"/>
      <c r="O1" s="762"/>
      <c r="P1" s="762"/>
      <c r="Q1" s="762"/>
      <c r="R1" s="763"/>
      <c r="S1" s="764" t="s">
        <v>125</v>
      </c>
      <c r="T1" s="765"/>
      <c r="U1" s="765"/>
      <c r="V1" s="765"/>
      <c r="W1" s="765"/>
      <c r="X1" s="765"/>
      <c r="Y1" s="765"/>
      <c r="Z1" s="765"/>
      <c r="AA1" s="765"/>
      <c r="AB1" s="765"/>
      <c r="AC1" s="766"/>
      <c r="AD1" s="767" t="s">
        <v>126</v>
      </c>
      <c r="AE1" s="768"/>
      <c r="AF1" s="768"/>
      <c r="AG1" s="768"/>
      <c r="AH1" s="768"/>
      <c r="AI1" s="768"/>
      <c r="AJ1" s="768"/>
      <c r="AK1" s="768"/>
      <c r="AL1" s="768"/>
      <c r="AM1" s="768"/>
      <c r="AN1" s="768"/>
      <c r="AO1" s="768"/>
      <c r="AP1" s="768"/>
      <c r="AQ1" s="768"/>
      <c r="AR1" s="768"/>
      <c r="AS1" s="769"/>
      <c r="AT1" s="471"/>
      <c r="AU1" s="471"/>
    </row>
    <row r="2" spans="1:47" ht="58.2" thickBot="1">
      <c r="C2" s="472" t="s">
        <v>76</v>
      </c>
      <c r="D2" s="472"/>
      <c r="E2" s="472"/>
      <c r="F2" s="472"/>
      <c r="G2" s="473"/>
      <c r="H2" s="474" t="s">
        <v>119</v>
      </c>
      <c r="I2" s="475" t="s">
        <v>26</v>
      </c>
      <c r="J2" s="475" t="s">
        <v>48</v>
      </c>
      <c r="K2" s="476" t="s">
        <v>28</v>
      </c>
      <c r="L2" s="476" t="s">
        <v>103</v>
      </c>
      <c r="M2" s="477" t="s">
        <v>31</v>
      </c>
      <c r="N2" s="478" t="s">
        <v>30</v>
      </c>
      <c r="O2" s="477" t="s">
        <v>32</v>
      </c>
      <c r="P2" s="479" t="s">
        <v>107</v>
      </c>
      <c r="Q2" s="479" t="s">
        <v>120</v>
      </c>
      <c r="R2" s="480" t="s">
        <v>34</v>
      </c>
      <c r="S2" s="474" t="s">
        <v>119</v>
      </c>
      <c r="T2" s="475" t="s">
        <v>26</v>
      </c>
      <c r="U2" s="475" t="s">
        <v>48</v>
      </c>
      <c r="V2" s="476" t="s">
        <v>28</v>
      </c>
      <c r="W2" s="476" t="s">
        <v>103</v>
      </c>
      <c r="X2" s="477" t="s">
        <v>31</v>
      </c>
      <c r="Y2" s="478" t="s">
        <v>30</v>
      </c>
      <c r="Z2" s="477" t="s">
        <v>32</v>
      </c>
      <c r="AA2" s="479" t="s">
        <v>107</v>
      </c>
      <c r="AB2" s="479" t="s">
        <v>120</v>
      </c>
      <c r="AC2" s="481" t="s">
        <v>34</v>
      </c>
      <c r="AD2" s="474" t="s">
        <v>119</v>
      </c>
      <c r="AE2" s="475" t="s">
        <v>26</v>
      </c>
      <c r="AF2" s="475" t="s">
        <v>48</v>
      </c>
      <c r="AG2" s="476" t="s">
        <v>28</v>
      </c>
      <c r="AH2" s="476" t="s">
        <v>103</v>
      </c>
      <c r="AI2" s="477" t="s">
        <v>31</v>
      </c>
      <c r="AJ2" s="478" t="s">
        <v>30</v>
      </c>
      <c r="AK2" s="477" t="s">
        <v>32</v>
      </c>
      <c r="AL2" s="479" t="s">
        <v>107</v>
      </c>
      <c r="AM2" s="479" t="s">
        <v>120</v>
      </c>
      <c r="AN2" s="481" t="s">
        <v>34</v>
      </c>
      <c r="AO2" s="610" t="s">
        <v>127</v>
      </c>
      <c r="AP2" s="483" t="s">
        <v>128</v>
      </c>
      <c r="AQ2" s="611" t="s">
        <v>129</v>
      </c>
      <c r="AR2" s="482" t="s">
        <v>130</v>
      </c>
      <c r="AS2" s="612" t="s">
        <v>131</v>
      </c>
      <c r="AT2" s="487" t="s">
        <v>132</v>
      </c>
      <c r="AU2" s="488" t="s">
        <v>133</v>
      </c>
    </row>
    <row r="3" spans="1:47" ht="30" customHeight="1">
      <c r="C3" s="489" t="s">
        <v>134</v>
      </c>
      <c r="D3" s="490"/>
      <c r="E3" s="490"/>
      <c r="F3" s="490"/>
      <c r="G3" s="491"/>
      <c r="H3" s="492">
        <v>1722385.460396667</v>
      </c>
      <c r="I3" s="493">
        <v>118569.89093631336</v>
      </c>
      <c r="J3" s="494">
        <v>14.526330814639952</v>
      </c>
      <c r="K3" s="495">
        <v>88118.161065627588</v>
      </c>
      <c r="L3" s="496">
        <v>0.25682514869683148</v>
      </c>
      <c r="M3" s="493">
        <v>62078.272890053748</v>
      </c>
      <c r="N3" s="496">
        <v>0.29551102588466599</v>
      </c>
      <c r="O3" s="494">
        <v>27.745383049672917</v>
      </c>
      <c r="P3" s="493">
        <v>16392.950450761251</v>
      </c>
      <c r="Q3" s="497">
        <v>0.18603373302981557</v>
      </c>
      <c r="R3" s="498">
        <v>105.0686675086414</v>
      </c>
      <c r="S3" s="494">
        <v>914192.06050000014</v>
      </c>
      <c r="T3" s="493">
        <v>97580.259869308677</v>
      </c>
      <c r="U3" s="494">
        <v>9.368616785038256</v>
      </c>
      <c r="V3" s="495">
        <v>65915.754645364097</v>
      </c>
      <c r="W3" s="496">
        <v>0.32449703727325102</v>
      </c>
      <c r="X3" s="493">
        <v>44322.176715645277</v>
      </c>
      <c r="Y3" s="496">
        <v>0.32759357828633329</v>
      </c>
      <c r="Z3" s="494">
        <v>20.626064156666288</v>
      </c>
      <c r="AA3" s="493">
        <v>9142.4003588019841</v>
      </c>
      <c r="AB3" s="497">
        <v>0.13869825822353649</v>
      </c>
      <c r="AC3" s="499">
        <v>99.994752430618277</v>
      </c>
      <c r="AD3" s="492">
        <v>808193.39989666687</v>
      </c>
      <c r="AE3" s="493">
        <v>20989.631067004677</v>
      </c>
      <c r="AF3" s="494">
        <v>38.504411883976957</v>
      </c>
      <c r="AG3" s="495">
        <v>22202.406420263498</v>
      </c>
      <c r="AH3" s="496">
        <v>-5.7779736546455185E-2</v>
      </c>
      <c r="AI3" s="493">
        <v>17756.096174408474</v>
      </c>
      <c r="AJ3" s="496">
        <v>0.20026253738860506</v>
      </c>
      <c r="AK3" s="494">
        <v>45.516390087000133</v>
      </c>
      <c r="AL3" s="493">
        <v>7250.550091959265</v>
      </c>
      <c r="AM3" s="497">
        <v>0.32656595662269727</v>
      </c>
      <c r="AN3" s="498">
        <v>111.46649421716835</v>
      </c>
      <c r="AO3" s="614">
        <v>0.85</v>
      </c>
      <c r="AP3" s="497">
        <v>0.75</v>
      </c>
      <c r="AQ3" s="615">
        <v>0.8</v>
      </c>
      <c r="AR3" s="500" t="s">
        <v>123</v>
      </c>
      <c r="AS3" s="649" t="s">
        <v>123</v>
      </c>
      <c r="AT3" s="770"/>
      <c r="AU3" s="771"/>
    </row>
    <row r="4" spans="1:47" ht="30" hidden="1" customHeight="1" thickBot="1">
      <c r="C4" s="490" t="s">
        <v>135</v>
      </c>
      <c r="D4" s="490"/>
      <c r="E4" s="490"/>
      <c r="F4" s="490"/>
      <c r="G4" s="491"/>
      <c r="H4" s="492">
        <v>132491.1892612821</v>
      </c>
      <c r="I4" s="493">
        <v>9120.7608412548725</v>
      </c>
      <c r="J4" s="494">
        <v>14.526330814639955</v>
      </c>
      <c r="K4" s="495">
        <v>6778.3200819713529</v>
      </c>
      <c r="L4" s="503">
        <v>0.25682514869683137</v>
      </c>
      <c r="M4" s="493">
        <v>4775.2517607733653</v>
      </c>
      <c r="N4" s="496">
        <v>0.29551102588466599</v>
      </c>
      <c r="O4" s="494">
        <v>27.74538304967292</v>
      </c>
      <c r="P4" s="504">
        <v>1260.996188520096</v>
      </c>
      <c r="Q4" s="497">
        <v>0.18603373302981552</v>
      </c>
      <c r="R4" s="498">
        <v>105.06866750864144</v>
      </c>
      <c r="S4" s="494">
        <v>70322.466192307707</v>
      </c>
      <c r="T4" s="493">
        <v>7506.1738361006674</v>
      </c>
      <c r="U4" s="494">
        <v>9.368616785038256</v>
      </c>
      <c r="V4" s="495">
        <v>5070.4426650280075</v>
      </c>
      <c r="W4" s="503">
        <v>0.32449703727325102</v>
      </c>
      <c r="X4" s="493">
        <v>3409.3982088957905</v>
      </c>
      <c r="Y4" s="496">
        <v>0.32759357828633329</v>
      </c>
      <c r="Z4" s="494">
        <v>20.626064156666288</v>
      </c>
      <c r="AA4" s="504">
        <v>703.26156606169104</v>
      </c>
      <c r="AB4" s="497">
        <v>0.13869825822353649</v>
      </c>
      <c r="AC4" s="499">
        <v>99.994752430618291</v>
      </c>
      <c r="AD4" s="492">
        <v>62168.723068974374</v>
      </c>
      <c r="AE4" s="493">
        <v>1614.5870051542058</v>
      </c>
      <c r="AF4" s="494">
        <v>38.504411883976964</v>
      </c>
      <c r="AG4" s="495">
        <v>1707.8774169433459</v>
      </c>
      <c r="AH4" s="503">
        <v>-5.7779736546455178E-2</v>
      </c>
      <c r="AI4" s="493">
        <v>1365.853551877575</v>
      </c>
      <c r="AJ4" s="496">
        <v>0.20026253738860497</v>
      </c>
      <c r="AK4" s="494">
        <v>45.516390087000133</v>
      </c>
      <c r="AL4" s="504">
        <v>557.73462245840506</v>
      </c>
      <c r="AM4" s="497">
        <v>0.32656595662269733</v>
      </c>
      <c r="AN4" s="498">
        <v>111.46649421716833</v>
      </c>
      <c r="AO4" s="614">
        <v>0.85</v>
      </c>
      <c r="AP4" s="497">
        <v>0.75</v>
      </c>
      <c r="AQ4" s="615">
        <v>0.8</v>
      </c>
      <c r="AR4" s="500" t="s">
        <v>123</v>
      </c>
      <c r="AS4" s="649" t="s">
        <v>123</v>
      </c>
      <c r="AT4" s="772"/>
      <c r="AU4" s="773"/>
    </row>
    <row r="5" spans="1:47" ht="30" hidden="1" customHeight="1">
      <c r="C5" s="505" t="s">
        <v>136</v>
      </c>
      <c r="D5" s="506"/>
      <c r="E5" s="506"/>
      <c r="F5" s="506"/>
      <c r="G5" s="507"/>
      <c r="H5" s="508">
        <v>1438786.02</v>
      </c>
      <c r="I5" s="509">
        <v>105540</v>
      </c>
      <c r="J5" s="510">
        <v>13.632613416714042</v>
      </c>
      <c r="K5" s="511">
        <v>81226</v>
      </c>
      <c r="L5" s="512">
        <v>0.23037710820541973</v>
      </c>
      <c r="M5" s="509">
        <v>40995</v>
      </c>
      <c r="N5" s="513">
        <v>0.49529707236599119</v>
      </c>
      <c r="O5" s="514">
        <v>35.096622027076471</v>
      </c>
      <c r="P5" s="509">
        <v>14404</v>
      </c>
      <c r="Q5" s="515">
        <v>0.17733238125723291</v>
      </c>
      <c r="R5" s="516">
        <v>99.88794918078311</v>
      </c>
      <c r="S5" s="510">
        <v>797765.17</v>
      </c>
      <c r="T5" s="509">
        <v>84428</v>
      </c>
      <c r="U5" s="514">
        <v>9.4490591983702092</v>
      </c>
      <c r="V5" s="511">
        <v>58812</v>
      </c>
      <c r="W5" s="512">
        <v>0.30340645283555218</v>
      </c>
      <c r="X5" s="509">
        <v>25479</v>
      </c>
      <c r="Y5" s="513">
        <v>0.56677208732911655</v>
      </c>
      <c r="Z5" s="514">
        <v>31.310693904784333</v>
      </c>
      <c r="AA5" s="509">
        <v>8012</v>
      </c>
      <c r="AB5" s="515">
        <v>0.1362307012174386</v>
      </c>
      <c r="AC5" s="517">
        <v>99.571289316025968</v>
      </c>
      <c r="AD5" s="508">
        <v>641020.85000000009</v>
      </c>
      <c r="AE5" s="509">
        <v>21112</v>
      </c>
      <c r="AF5" s="514">
        <v>30.362867089806748</v>
      </c>
      <c r="AG5" s="511">
        <v>22414</v>
      </c>
      <c r="AH5" s="512">
        <v>-6.1671087533156498E-2</v>
      </c>
      <c r="AI5" s="509">
        <v>15516</v>
      </c>
      <c r="AJ5" s="513">
        <v>0.30775408227000983</v>
      </c>
      <c r="AK5" s="514">
        <v>41.31353763856665</v>
      </c>
      <c r="AL5" s="509">
        <v>6392</v>
      </c>
      <c r="AM5" s="515">
        <v>0.28517890604086732</v>
      </c>
      <c r="AN5" s="516">
        <v>100.28486389236546</v>
      </c>
      <c r="AO5" s="619" t="s">
        <v>123</v>
      </c>
      <c r="AP5" s="515" t="s">
        <v>123</v>
      </c>
      <c r="AQ5" s="620">
        <v>0.84599999999999997</v>
      </c>
      <c r="AR5" s="518">
        <v>0.89080000000000004</v>
      </c>
      <c r="AS5" s="621">
        <v>2.38</v>
      </c>
      <c r="AT5" s="521"/>
      <c r="AU5" s="522"/>
    </row>
    <row r="6" spans="1:47" ht="30" hidden="1" customHeight="1">
      <c r="C6" s="523" t="s">
        <v>137</v>
      </c>
      <c r="D6" s="524"/>
      <c r="E6" s="524"/>
      <c r="F6" s="524"/>
      <c r="G6" s="525"/>
      <c r="H6" s="526">
        <v>238264.57</v>
      </c>
      <c r="I6" s="527">
        <v>12122</v>
      </c>
      <c r="J6" s="528">
        <v>19.655549414288071</v>
      </c>
      <c r="K6" s="529">
        <v>9901</v>
      </c>
      <c r="L6" s="530">
        <v>0.18322059066160701</v>
      </c>
      <c r="M6" s="527">
        <v>6517.0990000000002</v>
      </c>
      <c r="N6" s="531">
        <v>0.34177365922634073</v>
      </c>
      <c r="O6" s="532">
        <v>36.559912623699596</v>
      </c>
      <c r="P6" s="527">
        <v>2182</v>
      </c>
      <c r="Q6" s="533">
        <v>0.22038177961822039</v>
      </c>
      <c r="R6" s="534">
        <v>109.19549495875344</v>
      </c>
      <c r="S6" s="528">
        <v>84709.47</v>
      </c>
      <c r="T6" s="527">
        <v>6062</v>
      </c>
      <c r="U6" s="532">
        <v>13.973848564830089</v>
      </c>
      <c r="V6" s="529">
        <v>3922</v>
      </c>
      <c r="W6" s="530">
        <v>0.35301880567469485</v>
      </c>
      <c r="X6" s="527">
        <v>2341.9779000000003</v>
      </c>
      <c r="Y6" s="531">
        <v>0.40286132075471692</v>
      </c>
      <c r="Z6" s="532">
        <v>36.170055234082263</v>
      </c>
      <c r="AA6" s="527">
        <v>747</v>
      </c>
      <c r="AB6" s="533">
        <v>0.190464048954615</v>
      </c>
      <c r="AC6" s="535">
        <v>113.39955823293172</v>
      </c>
      <c r="AD6" s="526">
        <v>153555.1</v>
      </c>
      <c r="AE6" s="527">
        <v>6060</v>
      </c>
      <c r="AF6" s="532">
        <v>25.339125412541254</v>
      </c>
      <c r="AG6" s="529">
        <v>5979</v>
      </c>
      <c r="AH6" s="530">
        <v>1.3366336633663366E-2</v>
      </c>
      <c r="AI6" s="527">
        <v>4175.1211000000003</v>
      </c>
      <c r="AJ6" s="531">
        <v>0.30170244187991296</v>
      </c>
      <c r="AK6" s="532">
        <v>36.778597871089296</v>
      </c>
      <c r="AL6" s="527">
        <v>1435</v>
      </c>
      <c r="AM6" s="533">
        <v>0.24000669008195349</v>
      </c>
      <c r="AN6" s="534">
        <v>107.00703832752613</v>
      </c>
      <c r="AO6" s="624" t="s">
        <v>123</v>
      </c>
      <c r="AP6" s="533" t="s">
        <v>123</v>
      </c>
      <c r="AQ6" s="625">
        <v>0.8145</v>
      </c>
      <c r="AR6" s="536"/>
      <c r="AS6" s="626"/>
      <c r="AT6" s="539"/>
      <c r="AU6" s="540"/>
    </row>
    <row r="7" spans="1:47" ht="49.95" customHeight="1">
      <c r="C7" s="758" t="s">
        <v>138</v>
      </c>
      <c r="D7" s="541"/>
      <c r="E7" s="541"/>
      <c r="F7" s="541"/>
      <c r="G7" s="542" t="s">
        <v>139</v>
      </c>
      <c r="H7" s="543">
        <v>48577.19</v>
      </c>
      <c r="I7" s="544">
        <v>2337</v>
      </c>
      <c r="J7" s="545">
        <v>20.786131792896878</v>
      </c>
      <c r="K7" s="546">
        <v>1821</v>
      </c>
      <c r="L7" s="547">
        <v>0.220795892169448</v>
      </c>
      <c r="M7" s="544">
        <v>935</v>
      </c>
      <c r="N7" s="548">
        <v>0.48654585392641408</v>
      </c>
      <c r="O7" s="549">
        <v>51.954213903743316</v>
      </c>
      <c r="P7" s="544">
        <v>312</v>
      </c>
      <c r="Q7" s="548">
        <v>0.17133443163097201</v>
      </c>
      <c r="R7" s="550">
        <v>155.6961217948718</v>
      </c>
      <c r="S7" s="545">
        <v>22288.06</v>
      </c>
      <c r="T7" s="553">
        <v>1648</v>
      </c>
      <c r="U7" s="549">
        <v>13.524308252427184</v>
      </c>
      <c r="V7" s="546">
        <v>1122</v>
      </c>
      <c r="W7" s="547">
        <v>0.31917475728155342</v>
      </c>
      <c r="X7" s="544">
        <v>454</v>
      </c>
      <c r="Y7" s="548">
        <v>0.59536541889483063</v>
      </c>
      <c r="Z7" s="549">
        <v>49.092643171806174</v>
      </c>
      <c r="AA7" s="629">
        <v>140</v>
      </c>
      <c r="AB7" s="548">
        <v>0.12477718360071301</v>
      </c>
      <c r="AC7" s="551">
        <v>159.20042857142857</v>
      </c>
      <c r="AD7" s="552">
        <v>26289.13</v>
      </c>
      <c r="AE7" s="553">
        <v>689</v>
      </c>
      <c r="AF7" s="549">
        <v>38.155486211901305</v>
      </c>
      <c r="AG7" s="546">
        <v>699</v>
      </c>
      <c r="AH7" s="547">
        <v>-1.4513788098693759E-2</v>
      </c>
      <c r="AI7" s="553">
        <v>481</v>
      </c>
      <c r="AJ7" s="643">
        <v>0.31187410586552217</v>
      </c>
      <c r="AK7" s="549">
        <v>54.655155925155924</v>
      </c>
      <c r="AL7" s="554">
        <v>172</v>
      </c>
      <c r="AM7" s="548">
        <v>0.24606580829756797</v>
      </c>
      <c r="AN7" s="550">
        <v>152.84377906976744</v>
      </c>
      <c r="AO7" s="630">
        <v>0.82809999999999995</v>
      </c>
      <c r="AP7" s="555">
        <v>0.76129999999999998</v>
      </c>
      <c r="AQ7" s="631">
        <v>0.77</v>
      </c>
      <c r="AR7" s="632">
        <v>0.76329999999999998</v>
      </c>
      <c r="AS7" s="633">
        <v>2.12</v>
      </c>
      <c r="AT7" s="579"/>
      <c r="AU7" s="580"/>
    </row>
    <row r="8" spans="1:47" ht="21" hidden="1" customHeight="1">
      <c r="A8" t="s">
        <v>365</v>
      </c>
      <c r="B8" t="s">
        <v>366</v>
      </c>
      <c r="C8" s="759"/>
      <c r="D8" s="561" t="s">
        <v>40</v>
      </c>
      <c r="E8" s="561" t="s">
        <v>142</v>
      </c>
      <c r="F8" s="561" t="s">
        <v>44</v>
      </c>
      <c r="G8" s="562" t="s">
        <v>42</v>
      </c>
      <c r="H8" s="563">
        <v>2072.3000000000002</v>
      </c>
      <c r="I8" s="564">
        <v>71</v>
      </c>
      <c r="J8" s="565">
        <v>29.187323943661973</v>
      </c>
      <c r="K8" s="566">
        <v>80</v>
      </c>
      <c r="L8" s="567">
        <v>-0.12676056338028169</v>
      </c>
      <c r="M8" s="564">
        <v>57</v>
      </c>
      <c r="N8" s="568">
        <v>0.28749999999999998</v>
      </c>
      <c r="O8" s="565">
        <v>36.356140350877197</v>
      </c>
      <c r="P8" s="564">
        <v>25</v>
      </c>
      <c r="Q8" s="569">
        <v>0.3125</v>
      </c>
      <c r="R8" s="570">
        <v>82.89200000000001</v>
      </c>
      <c r="S8" s="565" t="s">
        <v>123</v>
      </c>
      <c r="T8" s="573" t="s">
        <v>123</v>
      </c>
      <c r="U8" s="650" t="s">
        <v>123</v>
      </c>
      <c r="V8" s="566" t="s">
        <v>123</v>
      </c>
      <c r="W8" s="567" t="s">
        <v>123</v>
      </c>
      <c r="X8" s="564" t="s">
        <v>123</v>
      </c>
      <c r="Y8" s="568" t="s">
        <v>123</v>
      </c>
      <c r="Z8" s="565" t="s">
        <v>123</v>
      </c>
      <c r="AA8" s="591" t="s">
        <v>123</v>
      </c>
      <c r="AB8" s="569" t="s">
        <v>123</v>
      </c>
      <c r="AC8" s="571" t="s">
        <v>123</v>
      </c>
      <c r="AD8" s="572">
        <v>2072.3000000000002</v>
      </c>
      <c r="AE8" s="573">
        <v>71</v>
      </c>
      <c r="AF8" s="650">
        <v>29.187323943661973</v>
      </c>
      <c r="AG8" s="651">
        <v>80</v>
      </c>
      <c r="AH8" s="567">
        <v>-0.12676056338028169</v>
      </c>
      <c r="AI8" s="573">
        <v>57</v>
      </c>
      <c r="AJ8" s="652">
        <v>0.28749999999999998</v>
      </c>
      <c r="AK8" s="565">
        <v>36.356140350877197</v>
      </c>
      <c r="AL8" s="574">
        <v>25</v>
      </c>
      <c r="AM8" s="569">
        <v>0.3125</v>
      </c>
      <c r="AN8" s="570">
        <v>82.89200000000001</v>
      </c>
      <c r="AO8" s="635"/>
      <c r="AP8" s="575"/>
      <c r="AQ8" s="636"/>
      <c r="AR8" s="637"/>
      <c r="AS8" s="638"/>
      <c r="AT8" s="579"/>
      <c r="AU8" s="580"/>
    </row>
    <row r="9" spans="1:47" ht="21" hidden="1" customHeight="1">
      <c r="A9" t="s">
        <v>367</v>
      </c>
      <c r="B9" t="s">
        <v>368</v>
      </c>
      <c r="C9" s="759"/>
      <c r="D9" s="561" t="s">
        <v>52</v>
      </c>
      <c r="E9" s="561" t="s">
        <v>145</v>
      </c>
      <c r="F9" s="561" t="s">
        <v>44</v>
      </c>
      <c r="G9" s="562" t="s">
        <v>42</v>
      </c>
      <c r="H9" s="563">
        <v>7469.22</v>
      </c>
      <c r="I9" s="564">
        <v>240</v>
      </c>
      <c r="J9" s="565">
        <v>31.121750000000002</v>
      </c>
      <c r="K9" s="566">
        <v>267</v>
      </c>
      <c r="L9" s="567">
        <v>-0.1125</v>
      </c>
      <c r="M9" s="564">
        <v>163</v>
      </c>
      <c r="N9" s="568">
        <v>0.38951310861423222</v>
      </c>
      <c r="O9" s="565">
        <v>45.823435582822086</v>
      </c>
      <c r="P9" s="564">
        <v>60</v>
      </c>
      <c r="Q9" s="569">
        <v>0.2247191011235955</v>
      </c>
      <c r="R9" s="570">
        <v>124.48700000000001</v>
      </c>
      <c r="S9" s="565" t="s">
        <v>123</v>
      </c>
      <c r="T9" s="573" t="s">
        <v>123</v>
      </c>
      <c r="U9" s="650" t="s">
        <v>123</v>
      </c>
      <c r="V9" s="566" t="s">
        <v>123</v>
      </c>
      <c r="W9" s="567" t="s">
        <v>123</v>
      </c>
      <c r="X9" s="564" t="s">
        <v>123</v>
      </c>
      <c r="Y9" s="568" t="s">
        <v>123</v>
      </c>
      <c r="Z9" s="565" t="s">
        <v>123</v>
      </c>
      <c r="AA9" s="591" t="s">
        <v>123</v>
      </c>
      <c r="AB9" s="569" t="s">
        <v>123</v>
      </c>
      <c r="AC9" s="571" t="s">
        <v>123</v>
      </c>
      <c r="AD9" s="572">
        <v>7469.22</v>
      </c>
      <c r="AE9" s="573">
        <v>240</v>
      </c>
      <c r="AF9" s="650">
        <v>31.121750000000002</v>
      </c>
      <c r="AG9" s="651">
        <v>267</v>
      </c>
      <c r="AH9" s="567">
        <v>-0.1125</v>
      </c>
      <c r="AI9" s="573">
        <v>163</v>
      </c>
      <c r="AJ9" s="652">
        <v>0.38951310861423222</v>
      </c>
      <c r="AK9" s="565">
        <v>45.823435582822086</v>
      </c>
      <c r="AL9" s="574">
        <v>60</v>
      </c>
      <c r="AM9" s="569">
        <v>0.2247191011235955</v>
      </c>
      <c r="AN9" s="570">
        <v>124.48700000000001</v>
      </c>
      <c r="AO9" s="635"/>
      <c r="AP9" s="575"/>
      <c r="AQ9" s="636"/>
      <c r="AR9" s="637"/>
      <c r="AS9" s="638"/>
      <c r="AT9" s="579"/>
      <c r="AU9" s="580"/>
    </row>
    <row r="10" spans="1:47" ht="21" hidden="1" customHeight="1">
      <c r="A10" t="s">
        <v>369</v>
      </c>
      <c r="B10" t="s">
        <v>370</v>
      </c>
      <c r="C10" s="759"/>
      <c r="D10" s="561" t="s">
        <v>40</v>
      </c>
      <c r="E10" s="561" t="s">
        <v>57</v>
      </c>
      <c r="F10" s="561" t="s">
        <v>57</v>
      </c>
      <c r="G10" s="562" t="s">
        <v>42</v>
      </c>
      <c r="H10" s="563">
        <v>8880.8200000000015</v>
      </c>
      <c r="I10" s="564">
        <v>619</v>
      </c>
      <c r="J10" s="565">
        <v>14.347043618739905</v>
      </c>
      <c r="K10" s="566">
        <v>527</v>
      </c>
      <c r="L10" s="567">
        <v>0.14862681744749595</v>
      </c>
      <c r="M10" s="564">
        <v>274</v>
      </c>
      <c r="N10" s="568">
        <v>0.48007590132827327</v>
      </c>
      <c r="O10" s="565">
        <v>32.411751824817522</v>
      </c>
      <c r="P10" s="564">
        <v>89</v>
      </c>
      <c r="Q10" s="569">
        <v>0.16888045540796964</v>
      </c>
      <c r="R10" s="570">
        <v>99.784494382022487</v>
      </c>
      <c r="S10" s="565">
        <v>8880.8200000000015</v>
      </c>
      <c r="T10" s="573">
        <v>619</v>
      </c>
      <c r="U10" s="650">
        <v>14.347043618739905</v>
      </c>
      <c r="V10" s="566">
        <v>527</v>
      </c>
      <c r="W10" s="567">
        <v>0.14862681744749595</v>
      </c>
      <c r="X10" s="564">
        <v>274</v>
      </c>
      <c r="Y10" s="568">
        <v>0.48007590132827327</v>
      </c>
      <c r="Z10" s="565">
        <v>32.411751824817522</v>
      </c>
      <c r="AA10" s="591">
        <v>89</v>
      </c>
      <c r="AB10" s="569">
        <v>0.16888045540796964</v>
      </c>
      <c r="AC10" s="571">
        <v>99.784494382022487</v>
      </c>
      <c r="AD10" s="572" t="s">
        <v>123</v>
      </c>
      <c r="AE10" s="573" t="s">
        <v>123</v>
      </c>
      <c r="AF10" s="650" t="s">
        <v>123</v>
      </c>
      <c r="AG10" s="651" t="s">
        <v>123</v>
      </c>
      <c r="AH10" s="567" t="s">
        <v>123</v>
      </c>
      <c r="AI10" s="573" t="s">
        <v>123</v>
      </c>
      <c r="AJ10" s="652" t="s">
        <v>123</v>
      </c>
      <c r="AK10" s="565" t="s">
        <v>123</v>
      </c>
      <c r="AL10" s="574" t="s">
        <v>123</v>
      </c>
      <c r="AM10" s="569" t="s">
        <v>123</v>
      </c>
      <c r="AN10" s="570" t="s">
        <v>123</v>
      </c>
      <c r="AO10" s="635"/>
      <c r="AP10" s="575"/>
      <c r="AQ10" s="636"/>
      <c r="AR10" s="637"/>
      <c r="AS10" s="638"/>
      <c r="AT10" s="579"/>
      <c r="AU10" s="580"/>
    </row>
    <row r="11" spans="1:47" ht="21" hidden="1" customHeight="1">
      <c r="A11" t="s">
        <v>371</v>
      </c>
      <c r="B11" t="s">
        <v>372</v>
      </c>
      <c r="C11" s="759"/>
      <c r="D11" s="561" t="s">
        <v>52</v>
      </c>
      <c r="E11" s="561" t="s">
        <v>121</v>
      </c>
      <c r="F11" s="561" t="s">
        <v>44</v>
      </c>
      <c r="G11" s="562" t="s">
        <v>42</v>
      </c>
      <c r="H11" s="563">
        <v>0</v>
      </c>
      <c r="I11" s="564">
        <v>0</v>
      </c>
      <c r="J11" s="565" t="s">
        <v>123</v>
      </c>
      <c r="K11" s="566">
        <v>2</v>
      </c>
      <c r="L11" s="567" t="s">
        <v>123</v>
      </c>
      <c r="M11" s="564">
        <v>0</v>
      </c>
      <c r="N11" s="568">
        <v>1</v>
      </c>
      <c r="O11" s="565" t="s">
        <v>123</v>
      </c>
      <c r="P11" s="564">
        <v>0</v>
      </c>
      <c r="Q11" s="569">
        <v>0</v>
      </c>
      <c r="R11" s="570" t="s">
        <v>123</v>
      </c>
      <c r="S11" s="565" t="s">
        <v>123</v>
      </c>
      <c r="T11" s="573" t="s">
        <v>123</v>
      </c>
      <c r="U11" s="650" t="s">
        <v>123</v>
      </c>
      <c r="V11" s="566" t="s">
        <v>123</v>
      </c>
      <c r="W11" s="567" t="s">
        <v>123</v>
      </c>
      <c r="X11" s="564" t="s">
        <v>123</v>
      </c>
      <c r="Y11" s="568" t="s">
        <v>123</v>
      </c>
      <c r="Z11" s="565" t="s">
        <v>123</v>
      </c>
      <c r="AA11" s="591" t="s">
        <v>123</v>
      </c>
      <c r="AB11" s="569" t="s">
        <v>123</v>
      </c>
      <c r="AC11" s="571" t="s">
        <v>123</v>
      </c>
      <c r="AD11" s="572">
        <v>0</v>
      </c>
      <c r="AE11" s="573">
        <v>0</v>
      </c>
      <c r="AF11" s="650" t="s">
        <v>123</v>
      </c>
      <c r="AG11" s="651">
        <v>2</v>
      </c>
      <c r="AH11" s="567" t="s">
        <v>123</v>
      </c>
      <c r="AI11" s="573">
        <v>0</v>
      </c>
      <c r="AJ11" s="652">
        <v>1</v>
      </c>
      <c r="AK11" s="565" t="s">
        <v>123</v>
      </c>
      <c r="AL11" s="574">
        <v>0</v>
      </c>
      <c r="AM11" s="569">
        <v>0</v>
      </c>
      <c r="AN11" s="570" t="s">
        <v>123</v>
      </c>
      <c r="AO11" s="635"/>
      <c r="AP11" s="575"/>
      <c r="AQ11" s="636"/>
      <c r="AR11" s="637"/>
      <c r="AS11" s="638"/>
      <c r="AT11" s="579"/>
      <c r="AU11" s="580"/>
    </row>
    <row r="12" spans="1:47" ht="21" hidden="1" customHeight="1">
      <c r="A12" t="s">
        <v>373</v>
      </c>
      <c r="B12" t="s">
        <v>374</v>
      </c>
      <c r="C12" s="759"/>
      <c r="D12" s="561" t="s">
        <v>40</v>
      </c>
      <c r="E12" s="561" t="s">
        <v>142</v>
      </c>
      <c r="F12" s="561" t="s">
        <v>44</v>
      </c>
      <c r="G12" s="562" t="s">
        <v>60</v>
      </c>
      <c r="H12" s="563">
        <v>2479.0300000000002</v>
      </c>
      <c r="I12" s="564">
        <v>73</v>
      </c>
      <c r="J12" s="565">
        <v>33.959315068493154</v>
      </c>
      <c r="K12" s="566">
        <v>73</v>
      </c>
      <c r="L12" s="567">
        <v>0</v>
      </c>
      <c r="M12" s="564">
        <v>61</v>
      </c>
      <c r="N12" s="568">
        <v>0.16438356164383561</v>
      </c>
      <c r="O12" s="565">
        <v>40.639836065573775</v>
      </c>
      <c r="P12" s="564">
        <v>18</v>
      </c>
      <c r="Q12" s="569">
        <v>0.24657534246575341</v>
      </c>
      <c r="R12" s="570">
        <v>137.72388888888889</v>
      </c>
      <c r="S12" s="565" t="s">
        <v>123</v>
      </c>
      <c r="T12" s="573" t="s">
        <v>123</v>
      </c>
      <c r="U12" s="650" t="s">
        <v>123</v>
      </c>
      <c r="V12" s="566" t="s">
        <v>123</v>
      </c>
      <c r="W12" s="567" t="s">
        <v>123</v>
      </c>
      <c r="X12" s="564" t="s">
        <v>123</v>
      </c>
      <c r="Y12" s="568" t="s">
        <v>123</v>
      </c>
      <c r="Z12" s="565" t="s">
        <v>123</v>
      </c>
      <c r="AA12" s="591" t="s">
        <v>123</v>
      </c>
      <c r="AB12" s="569" t="s">
        <v>123</v>
      </c>
      <c r="AC12" s="571" t="s">
        <v>123</v>
      </c>
      <c r="AD12" s="572">
        <v>2479.0300000000002</v>
      </c>
      <c r="AE12" s="573">
        <v>73</v>
      </c>
      <c r="AF12" s="650">
        <v>33.959315068493154</v>
      </c>
      <c r="AG12" s="651">
        <v>73</v>
      </c>
      <c r="AH12" s="567">
        <v>0</v>
      </c>
      <c r="AI12" s="573">
        <v>61</v>
      </c>
      <c r="AJ12" s="652">
        <v>0.16438356164383561</v>
      </c>
      <c r="AK12" s="565">
        <v>40.639836065573775</v>
      </c>
      <c r="AL12" s="574">
        <v>18</v>
      </c>
      <c r="AM12" s="569">
        <v>0.24657534246575341</v>
      </c>
      <c r="AN12" s="570">
        <v>137.72388888888889</v>
      </c>
      <c r="AO12" s="635"/>
      <c r="AP12" s="575"/>
      <c r="AQ12" s="636"/>
      <c r="AR12" s="637"/>
      <c r="AS12" s="638"/>
      <c r="AT12" s="579"/>
      <c r="AU12" s="580"/>
    </row>
    <row r="13" spans="1:47" ht="21" hidden="1" customHeight="1">
      <c r="A13" t="s">
        <v>375</v>
      </c>
      <c r="B13" t="s">
        <v>376</v>
      </c>
      <c r="C13" s="759"/>
      <c r="D13" s="561" t="s">
        <v>52</v>
      </c>
      <c r="E13" s="561" t="s">
        <v>145</v>
      </c>
      <c r="F13" s="561" t="s">
        <v>44</v>
      </c>
      <c r="G13" s="562" t="s">
        <v>60</v>
      </c>
      <c r="H13" s="563">
        <v>14268.58</v>
      </c>
      <c r="I13" s="564">
        <v>305</v>
      </c>
      <c r="J13" s="565">
        <v>46.782229508196721</v>
      </c>
      <c r="K13" s="566">
        <v>277</v>
      </c>
      <c r="L13" s="567">
        <v>9.1803278688524587E-2</v>
      </c>
      <c r="M13" s="564">
        <v>200</v>
      </c>
      <c r="N13" s="568">
        <v>0.27797833935018051</v>
      </c>
      <c r="O13" s="565">
        <v>71.3429</v>
      </c>
      <c r="P13" s="564">
        <v>69</v>
      </c>
      <c r="Q13" s="569">
        <v>0.24909747292418771</v>
      </c>
      <c r="R13" s="570">
        <v>206.79101449275362</v>
      </c>
      <c r="S13" s="565" t="s">
        <v>123</v>
      </c>
      <c r="T13" s="573" t="s">
        <v>123</v>
      </c>
      <c r="U13" s="650" t="s">
        <v>123</v>
      </c>
      <c r="V13" s="566" t="s">
        <v>123</v>
      </c>
      <c r="W13" s="567" t="s">
        <v>123</v>
      </c>
      <c r="X13" s="564" t="s">
        <v>123</v>
      </c>
      <c r="Y13" s="568" t="s">
        <v>123</v>
      </c>
      <c r="Z13" s="565" t="s">
        <v>123</v>
      </c>
      <c r="AA13" s="591" t="s">
        <v>123</v>
      </c>
      <c r="AB13" s="569" t="s">
        <v>123</v>
      </c>
      <c r="AC13" s="571" t="s">
        <v>123</v>
      </c>
      <c r="AD13" s="572">
        <v>14268.58</v>
      </c>
      <c r="AE13" s="573">
        <v>305</v>
      </c>
      <c r="AF13" s="650">
        <v>46.782229508196721</v>
      </c>
      <c r="AG13" s="651">
        <v>277</v>
      </c>
      <c r="AH13" s="567">
        <v>9.1803278688524587E-2</v>
      </c>
      <c r="AI13" s="573">
        <v>200</v>
      </c>
      <c r="AJ13" s="652">
        <v>0.27797833935018051</v>
      </c>
      <c r="AK13" s="565">
        <v>71.3429</v>
      </c>
      <c r="AL13" s="574">
        <v>69</v>
      </c>
      <c r="AM13" s="569">
        <v>0.24909747292418771</v>
      </c>
      <c r="AN13" s="570">
        <v>206.79101449275362</v>
      </c>
      <c r="AO13" s="635"/>
      <c r="AP13" s="575"/>
      <c r="AQ13" s="636"/>
      <c r="AR13" s="637"/>
      <c r="AS13" s="638"/>
      <c r="AT13" s="579"/>
      <c r="AU13" s="580"/>
    </row>
    <row r="14" spans="1:47" ht="21" hidden="1" customHeight="1">
      <c r="A14" t="s">
        <v>377</v>
      </c>
      <c r="B14" t="s">
        <v>378</v>
      </c>
      <c r="C14" s="760"/>
      <c r="D14" s="561" t="s">
        <v>40</v>
      </c>
      <c r="E14" s="561" t="s">
        <v>57</v>
      </c>
      <c r="F14" s="561" t="s">
        <v>57</v>
      </c>
      <c r="G14" s="562" t="s">
        <v>60</v>
      </c>
      <c r="H14" s="563">
        <v>13407.24</v>
      </c>
      <c r="I14" s="581">
        <v>1029</v>
      </c>
      <c r="J14" s="582">
        <v>13.029387755102041</v>
      </c>
      <c r="K14" s="566">
        <v>595</v>
      </c>
      <c r="L14" s="567">
        <v>0.42176870748299322</v>
      </c>
      <c r="M14" s="564">
        <v>180</v>
      </c>
      <c r="N14" s="568">
        <v>0.69747899159663862</v>
      </c>
      <c r="O14" s="565">
        <v>74.484666666666669</v>
      </c>
      <c r="P14" s="564">
        <v>51</v>
      </c>
      <c r="Q14" s="569">
        <v>8.5714285714285715E-2</v>
      </c>
      <c r="R14" s="570">
        <v>262.8870588235294</v>
      </c>
      <c r="S14" s="565">
        <v>13407.24</v>
      </c>
      <c r="T14" s="573">
        <v>1029</v>
      </c>
      <c r="U14" s="650">
        <v>13.029387755102041</v>
      </c>
      <c r="V14" s="566">
        <v>595</v>
      </c>
      <c r="W14" s="567">
        <v>0.42176870748299322</v>
      </c>
      <c r="X14" s="564">
        <v>180</v>
      </c>
      <c r="Y14" s="568">
        <v>0.69747899159663862</v>
      </c>
      <c r="Z14" s="565">
        <v>74.484666666666669</v>
      </c>
      <c r="AA14" s="591">
        <v>51</v>
      </c>
      <c r="AB14" s="569">
        <v>8.5714285714285715E-2</v>
      </c>
      <c r="AC14" s="571">
        <v>262.8870588235294</v>
      </c>
      <c r="AD14" s="572" t="s">
        <v>123</v>
      </c>
      <c r="AE14" s="573" t="s">
        <v>123</v>
      </c>
      <c r="AF14" s="650" t="s">
        <v>123</v>
      </c>
      <c r="AG14" s="651" t="s">
        <v>123</v>
      </c>
      <c r="AH14" s="567" t="s">
        <v>123</v>
      </c>
      <c r="AI14" s="573" t="s">
        <v>123</v>
      </c>
      <c r="AJ14" s="652" t="s">
        <v>123</v>
      </c>
      <c r="AK14" s="565" t="s">
        <v>123</v>
      </c>
      <c r="AL14" s="574" t="s">
        <v>123</v>
      </c>
      <c r="AM14" s="569" t="s">
        <v>123</v>
      </c>
      <c r="AN14" s="570" t="s">
        <v>123</v>
      </c>
      <c r="AO14" s="635"/>
      <c r="AP14" s="575"/>
      <c r="AQ14" s="636"/>
      <c r="AR14" s="637"/>
      <c r="AS14" s="638"/>
      <c r="AT14" s="579"/>
      <c r="AU14" s="580"/>
    </row>
    <row r="15" spans="1:47" ht="49.95" customHeight="1">
      <c r="C15" s="758" t="s">
        <v>156</v>
      </c>
      <c r="D15" s="541"/>
      <c r="E15" s="541"/>
      <c r="F15" s="541"/>
      <c r="G15" s="542" t="s">
        <v>139</v>
      </c>
      <c r="H15" s="543">
        <v>157103.72000000003</v>
      </c>
      <c r="I15" s="544">
        <v>7943</v>
      </c>
      <c r="J15" s="545">
        <v>19.778889588316762</v>
      </c>
      <c r="K15" s="546">
        <v>5617</v>
      </c>
      <c r="L15" s="547">
        <v>0.29283645977590333</v>
      </c>
      <c r="M15" s="544">
        <v>2974</v>
      </c>
      <c r="N15" s="548">
        <v>0.47053587324194412</v>
      </c>
      <c r="O15" s="549">
        <v>52.82572965702758</v>
      </c>
      <c r="P15" s="544">
        <v>843</v>
      </c>
      <c r="Q15" s="548">
        <v>0.15008011393982554</v>
      </c>
      <c r="R15" s="550">
        <v>186.36265717674974</v>
      </c>
      <c r="S15" s="545">
        <v>88705.760000000009</v>
      </c>
      <c r="T15" s="553">
        <v>6300</v>
      </c>
      <c r="U15" s="549">
        <v>14.080279365079367</v>
      </c>
      <c r="V15" s="546">
        <v>3979</v>
      </c>
      <c r="W15" s="547">
        <v>0.36841269841269841</v>
      </c>
      <c r="X15" s="544">
        <v>1754</v>
      </c>
      <c r="Y15" s="548">
        <v>0.55918572505654685</v>
      </c>
      <c r="Z15" s="549">
        <v>50.57340935005702</v>
      </c>
      <c r="AA15" s="629">
        <v>367</v>
      </c>
      <c r="AB15" s="548">
        <v>9.2234229705956267E-2</v>
      </c>
      <c r="AC15" s="551">
        <v>241.70506811989102</v>
      </c>
      <c r="AD15" s="552">
        <v>68397.959999999992</v>
      </c>
      <c r="AE15" s="553">
        <v>1643</v>
      </c>
      <c r="AF15" s="549">
        <v>41.629920876445524</v>
      </c>
      <c r="AG15" s="546">
        <v>1638</v>
      </c>
      <c r="AH15" s="547">
        <v>3.0432136335970784E-3</v>
      </c>
      <c r="AI15" s="553">
        <v>1220</v>
      </c>
      <c r="AJ15" s="643">
        <v>0.25518925518925517</v>
      </c>
      <c r="AK15" s="549">
        <v>56.063901639344259</v>
      </c>
      <c r="AL15" s="554">
        <v>476</v>
      </c>
      <c r="AM15" s="548">
        <v>0.29059829059829062</v>
      </c>
      <c r="AN15" s="550">
        <v>143.69319327731091</v>
      </c>
      <c r="AO15" s="630">
        <v>0.94340000000000002</v>
      </c>
      <c r="AP15" s="555">
        <v>0.85940000000000005</v>
      </c>
      <c r="AQ15" s="631">
        <v>0.87160000000000004</v>
      </c>
      <c r="AR15" s="632">
        <v>0.85270000000000001</v>
      </c>
      <c r="AS15" s="633">
        <v>2.38</v>
      </c>
      <c r="AT15" s="583" t="s">
        <v>379</v>
      </c>
      <c r="AU15" s="589" t="s">
        <v>380</v>
      </c>
    </row>
    <row r="16" spans="1:47" ht="21" hidden="1" customHeight="1">
      <c r="A16" t="s">
        <v>381</v>
      </c>
      <c r="B16" t="s">
        <v>366</v>
      </c>
      <c r="C16" s="759"/>
      <c r="D16" s="561" t="s">
        <v>40</v>
      </c>
      <c r="E16" s="561" t="s">
        <v>142</v>
      </c>
      <c r="F16" s="561" t="s">
        <v>44</v>
      </c>
      <c r="G16" s="562" t="s">
        <v>42</v>
      </c>
      <c r="H16" s="563">
        <v>5368.56</v>
      </c>
      <c r="I16" s="564">
        <v>157</v>
      </c>
      <c r="J16" s="565">
        <v>34.194649681528666</v>
      </c>
      <c r="K16" s="566">
        <v>172</v>
      </c>
      <c r="L16" s="567">
        <v>-9.5541401273885357E-2</v>
      </c>
      <c r="M16" s="564">
        <v>123</v>
      </c>
      <c r="N16" s="568">
        <v>0.28488372093023256</v>
      </c>
      <c r="O16" s="565">
        <v>43.646829268292684</v>
      </c>
      <c r="P16" s="564">
        <v>63</v>
      </c>
      <c r="Q16" s="569">
        <v>0.36627906976744184</v>
      </c>
      <c r="R16" s="570">
        <v>85.215238095238107</v>
      </c>
      <c r="S16" s="565" t="s">
        <v>123</v>
      </c>
      <c r="T16" s="573" t="s">
        <v>123</v>
      </c>
      <c r="U16" s="650" t="s">
        <v>123</v>
      </c>
      <c r="V16" s="566" t="s">
        <v>123</v>
      </c>
      <c r="W16" s="567" t="s">
        <v>123</v>
      </c>
      <c r="X16" s="564" t="s">
        <v>123</v>
      </c>
      <c r="Y16" s="568" t="s">
        <v>123</v>
      </c>
      <c r="Z16" s="565" t="s">
        <v>123</v>
      </c>
      <c r="AA16" s="591" t="s">
        <v>123</v>
      </c>
      <c r="AB16" s="569" t="s">
        <v>123</v>
      </c>
      <c r="AC16" s="571" t="s">
        <v>123</v>
      </c>
      <c r="AD16" s="572">
        <v>5368.56</v>
      </c>
      <c r="AE16" s="573">
        <v>157</v>
      </c>
      <c r="AF16" s="650">
        <v>34.194649681528666</v>
      </c>
      <c r="AG16" s="651">
        <v>172</v>
      </c>
      <c r="AH16" s="567">
        <v>-9.5541401273885357E-2</v>
      </c>
      <c r="AI16" s="573">
        <v>123</v>
      </c>
      <c r="AJ16" s="652">
        <v>0.28488372093023256</v>
      </c>
      <c r="AK16" s="565">
        <v>43.646829268292684</v>
      </c>
      <c r="AL16" s="574">
        <v>63</v>
      </c>
      <c r="AM16" s="569">
        <v>0.36627906976744184</v>
      </c>
      <c r="AN16" s="570">
        <v>85.215238095238107</v>
      </c>
      <c r="AO16" s="635"/>
      <c r="AP16" s="575"/>
      <c r="AQ16" s="636"/>
      <c r="AR16" s="637"/>
      <c r="AS16" s="638"/>
      <c r="AT16" s="579"/>
      <c r="AU16" s="580"/>
    </row>
    <row r="17" spans="1:47" ht="21" hidden="1" customHeight="1">
      <c r="A17" t="s">
        <v>382</v>
      </c>
      <c r="B17" t="s">
        <v>368</v>
      </c>
      <c r="C17" s="759"/>
      <c r="D17" s="561" t="s">
        <v>52</v>
      </c>
      <c r="E17" s="561" t="s">
        <v>145</v>
      </c>
      <c r="F17" s="561" t="s">
        <v>44</v>
      </c>
      <c r="G17" s="562" t="s">
        <v>42</v>
      </c>
      <c r="H17" s="563">
        <v>20135</v>
      </c>
      <c r="I17" s="564">
        <v>620</v>
      </c>
      <c r="J17" s="565">
        <v>32.475806451612904</v>
      </c>
      <c r="K17" s="566">
        <v>591</v>
      </c>
      <c r="L17" s="567">
        <v>4.6774193548387098E-2</v>
      </c>
      <c r="M17" s="564">
        <v>449</v>
      </c>
      <c r="N17" s="568">
        <v>0.24027072758037224</v>
      </c>
      <c r="O17" s="565">
        <v>44.84409799554566</v>
      </c>
      <c r="P17" s="564">
        <v>154</v>
      </c>
      <c r="Q17" s="569">
        <v>0.26057529610829105</v>
      </c>
      <c r="R17" s="570">
        <v>130.74675324675326</v>
      </c>
      <c r="S17" s="565" t="s">
        <v>123</v>
      </c>
      <c r="T17" s="573" t="s">
        <v>123</v>
      </c>
      <c r="U17" s="650" t="s">
        <v>123</v>
      </c>
      <c r="V17" s="566" t="s">
        <v>123</v>
      </c>
      <c r="W17" s="567" t="s">
        <v>123</v>
      </c>
      <c r="X17" s="564" t="s">
        <v>123</v>
      </c>
      <c r="Y17" s="568" t="s">
        <v>123</v>
      </c>
      <c r="Z17" s="565" t="s">
        <v>123</v>
      </c>
      <c r="AA17" s="591" t="s">
        <v>123</v>
      </c>
      <c r="AB17" s="569" t="s">
        <v>123</v>
      </c>
      <c r="AC17" s="571" t="s">
        <v>123</v>
      </c>
      <c r="AD17" s="572">
        <v>20135</v>
      </c>
      <c r="AE17" s="573">
        <v>620</v>
      </c>
      <c r="AF17" s="650">
        <v>32.475806451612904</v>
      </c>
      <c r="AG17" s="651">
        <v>591</v>
      </c>
      <c r="AH17" s="567">
        <v>4.6774193548387098E-2</v>
      </c>
      <c r="AI17" s="573">
        <v>449</v>
      </c>
      <c r="AJ17" s="652">
        <v>0.24027072758037224</v>
      </c>
      <c r="AK17" s="565">
        <v>44.84409799554566</v>
      </c>
      <c r="AL17" s="574">
        <v>154</v>
      </c>
      <c r="AM17" s="569">
        <v>0.26057529610829105</v>
      </c>
      <c r="AN17" s="570">
        <v>130.74675324675326</v>
      </c>
      <c r="AO17" s="635"/>
      <c r="AP17" s="575"/>
      <c r="AQ17" s="636"/>
      <c r="AR17" s="637"/>
      <c r="AS17" s="638"/>
      <c r="AT17" s="579"/>
      <c r="AU17" s="580"/>
    </row>
    <row r="18" spans="1:47" ht="21" hidden="1" customHeight="1">
      <c r="A18" t="s">
        <v>383</v>
      </c>
      <c r="B18" t="s">
        <v>370</v>
      </c>
      <c r="C18" s="759"/>
      <c r="D18" s="561" t="s">
        <v>40</v>
      </c>
      <c r="E18" s="561" t="s">
        <v>57</v>
      </c>
      <c r="F18" s="561" t="s">
        <v>57</v>
      </c>
      <c r="G18" s="562" t="s">
        <v>42</v>
      </c>
      <c r="H18" s="563">
        <v>43537.090000000004</v>
      </c>
      <c r="I18" s="564">
        <v>2851</v>
      </c>
      <c r="J18" s="565">
        <v>15.270813749561558</v>
      </c>
      <c r="K18" s="566">
        <v>2126</v>
      </c>
      <c r="L18" s="567">
        <v>0.25429673798667135</v>
      </c>
      <c r="M18" s="564">
        <v>1196</v>
      </c>
      <c r="N18" s="568">
        <v>0.4374412041392286</v>
      </c>
      <c r="O18" s="565">
        <v>36.402249163879603</v>
      </c>
      <c r="P18" s="564">
        <v>218</v>
      </c>
      <c r="Q18" s="569">
        <v>0.10253998118532455</v>
      </c>
      <c r="R18" s="570">
        <v>199.71142201834863</v>
      </c>
      <c r="S18" s="565">
        <v>43537.090000000004</v>
      </c>
      <c r="T18" s="573">
        <v>2851</v>
      </c>
      <c r="U18" s="650">
        <v>15.270813749561558</v>
      </c>
      <c r="V18" s="566">
        <v>2126</v>
      </c>
      <c r="W18" s="567">
        <v>0.25429673798667135</v>
      </c>
      <c r="X18" s="564">
        <v>1196</v>
      </c>
      <c r="Y18" s="568">
        <v>0.4374412041392286</v>
      </c>
      <c r="Z18" s="565">
        <v>36.402249163879603</v>
      </c>
      <c r="AA18" s="591">
        <v>218</v>
      </c>
      <c r="AB18" s="569">
        <v>0.10253998118532455</v>
      </c>
      <c r="AC18" s="571">
        <v>199.71142201834863</v>
      </c>
      <c r="AD18" s="572" t="s">
        <v>123</v>
      </c>
      <c r="AE18" s="573" t="s">
        <v>123</v>
      </c>
      <c r="AF18" s="650" t="s">
        <v>123</v>
      </c>
      <c r="AG18" s="651" t="s">
        <v>123</v>
      </c>
      <c r="AH18" s="567" t="s">
        <v>123</v>
      </c>
      <c r="AI18" s="573" t="s">
        <v>123</v>
      </c>
      <c r="AJ18" s="652" t="s">
        <v>123</v>
      </c>
      <c r="AK18" s="565" t="s">
        <v>123</v>
      </c>
      <c r="AL18" s="574" t="s">
        <v>123</v>
      </c>
      <c r="AM18" s="569" t="s">
        <v>123</v>
      </c>
      <c r="AN18" s="570" t="s">
        <v>123</v>
      </c>
      <c r="AO18" s="635"/>
      <c r="AP18" s="575"/>
      <c r="AQ18" s="636"/>
      <c r="AR18" s="637"/>
      <c r="AS18" s="638"/>
      <c r="AT18" s="579"/>
      <c r="AU18" s="580"/>
    </row>
    <row r="19" spans="1:47" ht="21" hidden="1" customHeight="1">
      <c r="A19" t="s">
        <v>384</v>
      </c>
      <c r="B19" t="s">
        <v>372</v>
      </c>
      <c r="C19" s="759"/>
      <c r="D19" s="561" t="s">
        <v>52</v>
      </c>
      <c r="E19" s="561" t="s">
        <v>121</v>
      </c>
      <c r="F19" s="561" t="s">
        <v>44</v>
      </c>
      <c r="G19" s="562" t="s">
        <v>42</v>
      </c>
      <c r="H19" s="563">
        <v>0</v>
      </c>
      <c r="I19" s="564">
        <v>0</v>
      </c>
      <c r="J19" s="565" t="s">
        <v>123</v>
      </c>
      <c r="K19" s="566">
        <v>0</v>
      </c>
      <c r="L19" s="567" t="s">
        <v>123</v>
      </c>
      <c r="M19" s="564">
        <v>0</v>
      </c>
      <c r="N19" s="568" t="s">
        <v>123</v>
      </c>
      <c r="O19" s="565" t="s">
        <v>123</v>
      </c>
      <c r="P19" s="564">
        <v>0</v>
      </c>
      <c r="Q19" s="569" t="s">
        <v>123</v>
      </c>
      <c r="R19" s="570" t="s">
        <v>123</v>
      </c>
      <c r="S19" s="565" t="s">
        <v>123</v>
      </c>
      <c r="T19" s="573" t="s">
        <v>123</v>
      </c>
      <c r="U19" s="650" t="s">
        <v>123</v>
      </c>
      <c r="V19" s="566" t="s">
        <v>123</v>
      </c>
      <c r="W19" s="567" t="s">
        <v>123</v>
      </c>
      <c r="X19" s="564" t="s">
        <v>123</v>
      </c>
      <c r="Y19" s="568" t="s">
        <v>123</v>
      </c>
      <c r="Z19" s="565" t="s">
        <v>123</v>
      </c>
      <c r="AA19" s="591" t="s">
        <v>123</v>
      </c>
      <c r="AB19" s="569" t="s">
        <v>123</v>
      </c>
      <c r="AC19" s="571" t="s">
        <v>123</v>
      </c>
      <c r="AD19" s="572">
        <v>0</v>
      </c>
      <c r="AE19" s="573">
        <v>0</v>
      </c>
      <c r="AF19" s="650" t="s">
        <v>123</v>
      </c>
      <c r="AG19" s="651">
        <v>0</v>
      </c>
      <c r="AH19" s="567" t="s">
        <v>123</v>
      </c>
      <c r="AI19" s="573">
        <v>0</v>
      </c>
      <c r="AJ19" s="652" t="s">
        <v>123</v>
      </c>
      <c r="AK19" s="565" t="s">
        <v>123</v>
      </c>
      <c r="AL19" s="574">
        <v>0</v>
      </c>
      <c r="AM19" s="569" t="s">
        <v>123</v>
      </c>
      <c r="AN19" s="570" t="s">
        <v>123</v>
      </c>
      <c r="AO19" s="635"/>
      <c r="AP19" s="575"/>
      <c r="AQ19" s="636"/>
      <c r="AR19" s="637"/>
      <c r="AS19" s="638"/>
      <c r="AT19" s="579"/>
      <c r="AU19" s="580"/>
    </row>
    <row r="20" spans="1:47" ht="21" hidden="1" customHeight="1">
      <c r="A20" t="s">
        <v>385</v>
      </c>
      <c r="B20" t="s">
        <v>374</v>
      </c>
      <c r="C20" s="759"/>
      <c r="D20" s="561" t="s">
        <v>40</v>
      </c>
      <c r="E20" s="561" t="s">
        <v>142</v>
      </c>
      <c r="F20" s="561" t="s">
        <v>44</v>
      </c>
      <c r="G20" s="562" t="s">
        <v>60</v>
      </c>
      <c r="H20" s="563">
        <v>9067.5499999999993</v>
      </c>
      <c r="I20" s="564">
        <v>202</v>
      </c>
      <c r="J20" s="565">
        <v>44.888861386138608</v>
      </c>
      <c r="K20" s="566">
        <v>226</v>
      </c>
      <c r="L20" s="567">
        <v>-0.11881188118811881</v>
      </c>
      <c r="M20" s="564">
        <v>168</v>
      </c>
      <c r="N20" s="568">
        <v>0.25663716814159293</v>
      </c>
      <c r="O20" s="565">
        <v>53.973511904761899</v>
      </c>
      <c r="P20" s="564">
        <v>65</v>
      </c>
      <c r="Q20" s="569">
        <v>0.28761061946902655</v>
      </c>
      <c r="R20" s="570">
        <v>139.50076923076921</v>
      </c>
      <c r="S20" s="565" t="s">
        <v>123</v>
      </c>
      <c r="T20" s="573" t="s">
        <v>123</v>
      </c>
      <c r="U20" s="650" t="s">
        <v>123</v>
      </c>
      <c r="V20" s="566" t="s">
        <v>123</v>
      </c>
      <c r="W20" s="567" t="s">
        <v>123</v>
      </c>
      <c r="X20" s="564" t="s">
        <v>123</v>
      </c>
      <c r="Y20" s="568" t="s">
        <v>123</v>
      </c>
      <c r="Z20" s="565" t="s">
        <v>123</v>
      </c>
      <c r="AA20" s="591" t="s">
        <v>123</v>
      </c>
      <c r="AB20" s="569" t="s">
        <v>123</v>
      </c>
      <c r="AC20" s="571" t="s">
        <v>123</v>
      </c>
      <c r="AD20" s="572">
        <v>9067.5499999999993</v>
      </c>
      <c r="AE20" s="573">
        <v>202</v>
      </c>
      <c r="AF20" s="650">
        <v>44.888861386138608</v>
      </c>
      <c r="AG20" s="651">
        <v>226</v>
      </c>
      <c r="AH20" s="567">
        <v>-0.11881188118811881</v>
      </c>
      <c r="AI20" s="573">
        <v>168</v>
      </c>
      <c r="AJ20" s="652">
        <v>0.25663716814159293</v>
      </c>
      <c r="AK20" s="565">
        <v>53.973511904761899</v>
      </c>
      <c r="AL20" s="574">
        <v>65</v>
      </c>
      <c r="AM20" s="569">
        <v>0.28761061946902655</v>
      </c>
      <c r="AN20" s="570">
        <v>139.50076923076921</v>
      </c>
      <c r="AO20" s="635"/>
      <c r="AP20" s="575"/>
      <c r="AQ20" s="636"/>
      <c r="AR20" s="637"/>
      <c r="AS20" s="638"/>
      <c r="AT20" s="579"/>
      <c r="AU20" s="580"/>
    </row>
    <row r="21" spans="1:47" ht="21" hidden="1" customHeight="1">
      <c r="A21" t="s">
        <v>386</v>
      </c>
      <c r="B21" t="s">
        <v>376</v>
      </c>
      <c r="C21" s="759"/>
      <c r="D21" s="561" t="s">
        <v>52</v>
      </c>
      <c r="E21" s="561" t="s">
        <v>145</v>
      </c>
      <c r="F21" s="561" t="s">
        <v>44</v>
      </c>
      <c r="G21" s="562" t="s">
        <v>60</v>
      </c>
      <c r="H21" s="563">
        <v>33826.85</v>
      </c>
      <c r="I21" s="564">
        <v>664</v>
      </c>
      <c r="J21" s="565">
        <v>50.944051204819274</v>
      </c>
      <c r="K21" s="566">
        <v>649</v>
      </c>
      <c r="L21" s="567">
        <v>2.2590361445783132E-2</v>
      </c>
      <c r="M21" s="564">
        <v>480</v>
      </c>
      <c r="N21" s="568">
        <v>0.26040061633281975</v>
      </c>
      <c r="O21" s="565">
        <v>70.47260416666667</v>
      </c>
      <c r="P21" s="564">
        <v>194</v>
      </c>
      <c r="Q21" s="569">
        <v>0.29892141756548535</v>
      </c>
      <c r="R21" s="570">
        <v>174.36520618556699</v>
      </c>
      <c r="S21" s="565" t="s">
        <v>123</v>
      </c>
      <c r="T21" s="573" t="s">
        <v>123</v>
      </c>
      <c r="U21" s="650" t="s">
        <v>123</v>
      </c>
      <c r="V21" s="566" t="s">
        <v>123</v>
      </c>
      <c r="W21" s="567" t="s">
        <v>123</v>
      </c>
      <c r="X21" s="564" t="s">
        <v>123</v>
      </c>
      <c r="Y21" s="568" t="s">
        <v>123</v>
      </c>
      <c r="Z21" s="565" t="s">
        <v>123</v>
      </c>
      <c r="AA21" s="591" t="s">
        <v>123</v>
      </c>
      <c r="AB21" s="569" t="s">
        <v>123</v>
      </c>
      <c r="AC21" s="571" t="s">
        <v>123</v>
      </c>
      <c r="AD21" s="572">
        <v>33826.85</v>
      </c>
      <c r="AE21" s="573">
        <v>664</v>
      </c>
      <c r="AF21" s="650">
        <v>50.944051204819274</v>
      </c>
      <c r="AG21" s="651">
        <v>649</v>
      </c>
      <c r="AH21" s="567">
        <v>2.2590361445783132E-2</v>
      </c>
      <c r="AI21" s="573">
        <v>480</v>
      </c>
      <c r="AJ21" s="652">
        <v>0.26040061633281975</v>
      </c>
      <c r="AK21" s="565">
        <v>70.47260416666667</v>
      </c>
      <c r="AL21" s="574">
        <v>194</v>
      </c>
      <c r="AM21" s="569">
        <v>0.29892141756548535</v>
      </c>
      <c r="AN21" s="570">
        <v>174.36520618556699</v>
      </c>
      <c r="AO21" s="635"/>
      <c r="AP21" s="575"/>
      <c r="AQ21" s="636"/>
      <c r="AR21" s="637"/>
      <c r="AS21" s="638"/>
      <c r="AT21" s="579"/>
      <c r="AU21" s="580"/>
    </row>
    <row r="22" spans="1:47" ht="21" hidden="1" customHeight="1">
      <c r="A22" t="s">
        <v>387</v>
      </c>
      <c r="B22" t="s">
        <v>378</v>
      </c>
      <c r="C22" s="759"/>
      <c r="D22" s="584" t="s">
        <v>40</v>
      </c>
      <c r="E22" s="584" t="s">
        <v>57</v>
      </c>
      <c r="F22" s="584" t="s">
        <v>57</v>
      </c>
      <c r="G22" s="585" t="s">
        <v>60</v>
      </c>
      <c r="H22" s="563">
        <v>45168.67</v>
      </c>
      <c r="I22" s="581">
        <v>3449</v>
      </c>
      <c r="J22" s="582">
        <v>13.096164105537836</v>
      </c>
      <c r="K22" s="566">
        <v>1853</v>
      </c>
      <c r="L22" s="567">
        <v>0.46274282400695854</v>
      </c>
      <c r="M22" s="564">
        <v>558</v>
      </c>
      <c r="N22" s="568">
        <v>0.69886670264436046</v>
      </c>
      <c r="O22" s="586">
        <v>80.947437275985664</v>
      </c>
      <c r="P22" s="564">
        <v>149</v>
      </c>
      <c r="Q22" s="569">
        <v>8.0410145709660014E-2</v>
      </c>
      <c r="R22" s="570">
        <v>303.14543624161075</v>
      </c>
      <c r="S22" s="565">
        <v>45168.67</v>
      </c>
      <c r="T22" s="573">
        <v>3449</v>
      </c>
      <c r="U22" s="650">
        <v>13.096164105537836</v>
      </c>
      <c r="V22" s="566">
        <v>1853</v>
      </c>
      <c r="W22" s="567">
        <v>0.46274282400695854</v>
      </c>
      <c r="X22" s="564">
        <v>558</v>
      </c>
      <c r="Y22" s="568">
        <v>0.69886670264436046</v>
      </c>
      <c r="Z22" s="586">
        <v>80.947437275985664</v>
      </c>
      <c r="AA22" s="591">
        <v>149</v>
      </c>
      <c r="AB22" s="569">
        <v>8.0410145709660014E-2</v>
      </c>
      <c r="AC22" s="571">
        <v>303.14543624161075</v>
      </c>
      <c r="AD22" s="572" t="s">
        <v>123</v>
      </c>
      <c r="AE22" s="573" t="s">
        <v>123</v>
      </c>
      <c r="AF22" s="650" t="s">
        <v>123</v>
      </c>
      <c r="AG22" s="651" t="s">
        <v>123</v>
      </c>
      <c r="AH22" s="567" t="s">
        <v>123</v>
      </c>
      <c r="AI22" s="573" t="s">
        <v>123</v>
      </c>
      <c r="AJ22" s="652" t="s">
        <v>123</v>
      </c>
      <c r="AK22" s="586" t="s">
        <v>123</v>
      </c>
      <c r="AL22" s="574" t="s">
        <v>123</v>
      </c>
      <c r="AM22" s="569" t="s">
        <v>123</v>
      </c>
      <c r="AN22" s="570" t="s">
        <v>123</v>
      </c>
      <c r="AO22" s="635"/>
      <c r="AP22" s="587"/>
      <c r="AQ22" s="636"/>
      <c r="AR22" s="641"/>
      <c r="AS22" s="638"/>
      <c r="AT22" s="579"/>
      <c r="AU22" s="580"/>
    </row>
    <row r="23" spans="1:47" ht="49.95" customHeight="1">
      <c r="C23" s="758" t="s">
        <v>166</v>
      </c>
      <c r="D23" s="541"/>
      <c r="E23" s="541"/>
      <c r="F23" s="541"/>
      <c r="G23" s="542" t="s">
        <v>139</v>
      </c>
      <c r="H23" s="543">
        <v>144363.09999999998</v>
      </c>
      <c r="I23" s="544">
        <v>6619</v>
      </c>
      <c r="J23" s="545">
        <v>21.810409427405951</v>
      </c>
      <c r="K23" s="546">
        <v>4589</v>
      </c>
      <c r="L23" s="547">
        <v>0.30669285390542378</v>
      </c>
      <c r="M23" s="544">
        <v>2536</v>
      </c>
      <c r="N23" s="548">
        <v>0.44737415558945304</v>
      </c>
      <c r="O23" s="549">
        <v>56.925512618296523</v>
      </c>
      <c r="P23" s="544">
        <v>715</v>
      </c>
      <c r="Q23" s="548">
        <v>0.15580736543909349</v>
      </c>
      <c r="R23" s="550">
        <v>201.90643356643352</v>
      </c>
      <c r="S23" s="545">
        <v>76499.460000000006</v>
      </c>
      <c r="T23" s="553">
        <v>5019</v>
      </c>
      <c r="U23" s="549">
        <v>15.241972504482966</v>
      </c>
      <c r="V23" s="546">
        <v>3077</v>
      </c>
      <c r="W23" s="547">
        <v>0.38692966726439532</v>
      </c>
      <c r="X23" s="544">
        <v>1420</v>
      </c>
      <c r="Y23" s="548">
        <v>0.53851153721156975</v>
      </c>
      <c r="Z23" s="549">
        <v>53.872859154929579</v>
      </c>
      <c r="AA23" s="629">
        <v>287</v>
      </c>
      <c r="AB23" s="548">
        <v>9.3272668183295424E-2</v>
      </c>
      <c r="AC23" s="551">
        <v>266.54864111498262</v>
      </c>
      <c r="AD23" s="552">
        <v>67863.64</v>
      </c>
      <c r="AE23" s="553">
        <v>1600</v>
      </c>
      <c r="AF23" s="549">
        <v>42.414774999999999</v>
      </c>
      <c r="AG23" s="546">
        <v>1512</v>
      </c>
      <c r="AH23" s="547">
        <v>5.5E-2</v>
      </c>
      <c r="AI23" s="553">
        <v>1116</v>
      </c>
      <c r="AJ23" s="643">
        <v>0.26190476190476192</v>
      </c>
      <c r="AK23" s="549">
        <v>60.809713261648746</v>
      </c>
      <c r="AL23" s="554">
        <v>428</v>
      </c>
      <c r="AM23" s="548">
        <v>0.28306878306878308</v>
      </c>
      <c r="AN23" s="550">
        <v>158.55990654205607</v>
      </c>
      <c r="AO23" s="630">
        <v>0.92630000000000001</v>
      </c>
      <c r="AP23" s="555">
        <v>0.85799999999999998</v>
      </c>
      <c r="AQ23" s="631">
        <v>0.86560000000000004</v>
      </c>
      <c r="AR23" s="632">
        <v>0.84789999999999999</v>
      </c>
      <c r="AS23" s="633">
        <v>2.2400000000000002</v>
      </c>
      <c r="AT23" s="583" t="s">
        <v>388</v>
      </c>
      <c r="AU23" s="589" t="s">
        <v>389</v>
      </c>
    </row>
    <row r="24" spans="1:47" ht="21" hidden="1" customHeight="1">
      <c r="A24" t="s">
        <v>390</v>
      </c>
      <c r="B24" t="s">
        <v>366</v>
      </c>
      <c r="C24" s="759"/>
      <c r="D24" s="561" t="s">
        <v>40</v>
      </c>
      <c r="E24" s="561" t="s">
        <v>142</v>
      </c>
      <c r="F24" s="561" t="s">
        <v>44</v>
      </c>
      <c r="G24" s="562" t="s">
        <v>42</v>
      </c>
      <c r="H24" s="563">
        <v>6081.44</v>
      </c>
      <c r="I24" s="564">
        <v>161</v>
      </c>
      <c r="J24" s="565">
        <v>37.772919254658383</v>
      </c>
      <c r="K24" s="566">
        <v>166</v>
      </c>
      <c r="L24" s="567">
        <v>-3.1055900621118012E-2</v>
      </c>
      <c r="M24" s="564">
        <v>125</v>
      </c>
      <c r="N24" s="568">
        <v>0.24698795180722891</v>
      </c>
      <c r="O24" s="565">
        <v>48.651519999999998</v>
      </c>
      <c r="P24" s="564">
        <v>55</v>
      </c>
      <c r="Q24" s="569">
        <v>0.33132530120481929</v>
      </c>
      <c r="R24" s="570">
        <v>110.57163636363636</v>
      </c>
      <c r="S24" s="565" t="s">
        <v>123</v>
      </c>
      <c r="T24" s="573" t="s">
        <v>123</v>
      </c>
      <c r="U24" s="650" t="s">
        <v>123</v>
      </c>
      <c r="V24" s="566" t="s">
        <v>123</v>
      </c>
      <c r="W24" s="567" t="s">
        <v>123</v>
      </c>
      <c r="X24" s="564" t="s">
        <v>123</v>
      </c>
      <c r="Y24" s="568" t="s">
        <v>123</v>
      </c>
      <c r="Z24" s="565" t="s">
        <v>123</v>
      </c>
      <c r="AA24" s="591" t="s">
        <v>123</v>
      </c>
      <c r="AB24" s="569" t="s">
        <v>123</v>
      </c>
      <c r="AC24" s="571" t="s">
        <v>123</v>
      </c>
      <c r="AD24" s="572">
        <v>6081.44</v>
      </c>
      <c r="AE24" s="573">
        <v>161</v>
      </c>
      <c r="AF24" s="650">
        <v>37.772919254658383</v>
      </c>
      <c r="AG24" s="651">
        <v>166</v>
      </c>
      <c r="AH24" s="567">
        <v>-3.1055900621118012E-2</v>
      </c>
      <c r="AI24" s="573">
        <v>125</v>
      </c>
      <c r="AJ24" s="652">
        <v>0.24698795180722891</v>
      </c>
      <c r="AK24" s="565">
        <v>48.651519999999998</v>
      </c>
      <c r="AL24" s="574">
        <v>55</v>
      </c>
      <c r="AM24" s="569">
        <v>0.33132530120481929</v>
      </c>
      <c r="AN24" s="570">
        <v>110.57163636363636</v>
      </c>
      <c r="AO24" s="635"/>
      <c r="AP24" s="575"/>
      <c r="AQ24" s="636"/>
      <c r="AR24" s="637"/>
      <c r="AS24" s="638"/>
      <c r="AT24" s="579"/>
      <c r="AU24" s="580"/>
    </row>
    <row r="25" spans="1:47" ht="21" hidden="1" customHeight="1">
      <c r="A25" t="s">
        <v>391</v>
      </c>
      <c r="B25" t="s">
        <v>368</v>
      </c>
      <c r="C25" s="759"/>
      <c r="D25" s="561" t="s">
        <v>52</v>
      </c>
      <c r="E25" s="561" t="s">
        <v>145</v>
      </c>
      <c r="F25" s="561" t="s">
        <v>44</v>
      </c>
      <c r="G25" s="562" t="s">
        <v>42</v>
      </c>
      <c r="H25" s="563">
        <v>21344.46</v>
      </c>
      <c r="I25" s="564">
        <v>598</v>
      </c>
      <c r="J25" s="565">
        <v>35.693076923076923</v>
      </c>
      <c r="K25" s="566">
        <v>531</v>
      </c>
      <c r="L25" s="567">
        <v>0.11204013377926421</v>
      </c>
      <c r="M25" s="564">
        <v>399</v>
      </c>
      <c r="N25" s="568">
        <v>0.24858757062146894</v>
      </c>
      <c r="O25" s="565">
        <v>53.494887218045108</v>
      </c>
      <c r="P25" s="564">
        <v>122</v>
      </c>
      <c r="Q25" s="569">
        <v>0.22975517890772129</v>
      </c>
      <c r="R25" s="570">
        <v>174.95459016393443</v>
      </c>
      <c r="S25" s="565" t="s">
        <v>123</v>
      </c>
      <c r="T25" s="573" t="s">
        <v>123</v>
      </c>
      <c r="U25" s="650" t="s">
        <v>123</v>
      </c>
      <c r="V25" s="566" t="s">
        <v>123</v>
      </c>
      <c r="W25" s="567" t="s">
        <v>123</v>
      </c>
      <c r="X25" s="564" t="s">
        <v>123</v>
      </c>
      <c r="Y25" s="568" t="s">
        <v>123</v>
      </c>
      <c r="Z25" s="565" t="s">
        <v>123</v>
      </c>
      <c r="AA25" s="591" t="s">
        <v>123</v>
      </c>
      <c r="AB25" s="569" t="s">
        <v>123</v>
      </c>
      <c r="AC25" s="571" t="s">
        <v>123</v>
      </c>
      <c r="AD25" s="572">
        <v>21344.46</v>
      </c>
      <c r="AE25" s="573">
        <v>598</v>
      </c>
      <c r="AF25" s="650">
        <v>35.693076923076923</v>
      </c>
      <c r="AG25" s="651">
        <v>531</v>
      </c>
      <c r="AH25" s="567">
        <v>0.11204013377926421</v>
      </c>
      <c r="AI25" s="573">
        <v>399</v>
      </c>
      <c r="AJ25" s="652">
        <v>0.24858757062146894</v>
      </c>
      <c r="AK25" s="565">
        <v>53.494887218045108</v>
      </c>
      <c r="AL25" s="574">
        <v>122</v>
      </c>
      <c r="AM25" s="569">
        <v>0.22975517890772129</v>
      </c>
      <c r="AN25" s="570">
        <v>174.95459016393443</v>
      </c>
      <c r="AO25" s="635"/>
      <c r="AP25" s="575"/>
      <c r="AQ25" s="636"/>
      <c r="AR25" s="637"/>
      <c r="AS25" s="638"/>
      <c r="AT25" s="579"/>
      <c r="AU25" s="580"/>
    </row>
    <row r="26" spans="1:47" ht="21" hidden="1" customHeight="1">
      <c r="A26" t="s">
        <v>392</v>
      </c>
      <c r="B26" t="s">
        <v>370</v>
      </c>
      <c r="C26" s="759"/>
      <c r="D26" s="561" t="s">
        <v>40</v>
      </c>
      <c r="E26" s="561" t="s">
        <v>57</v>
      </c>
      <c r="F26" s="561" t="s">
        <v>57</v>
      </c>
      <c r="G26" s="562" t="s">
        <v>42</v>
      </c>
      <c r="H26" s="563">
        <v>43393.350000000006</v>
      </c>
      <c r="I26" s="564">
        <v>2918</v>
      </c>
      <c r="J26" s="565">
        <v>14.870921864290612</v>
      </c>
      <c r="K26" s="566">
        <v>1928</v>
      </c>
      <c r="L26" s="567">
        <v>0.33927347498286498</v>
      </c>
      <c r="M26" s="564">
        <v>1017</v>
      </c>
      <c r="N26" s="568">
        <v>0.47251037344398339</v>
      </c>
      <c r="O26" s="565">
        <v>42.66799410029499</v>
      </c>
      <c r="P26" s="564">
        <v>135</v>
      </c>
      <c r="Q26" s="569">
        <v>7.0020746887966806E-2</v>
      </c>
      <c r="R26" s="570">
        <v>321.43222222222226</v>
      </c>
      <c r="S26" s="565">
        <v>43393.350000000006</v>
      </c>
      <c r="T26" s="573">
        <v>2918</v>
      </c>
      <c r="U26" s="650">
        <v>14.870921864290612</v>
      </c>
      <c r="V26" s="566">
        <v>1928</v>
      </c>
      <c r="W26" s="567">
        <v>0.33927347498286498</v>
      </c>
      <c r="X26" s="564">
        <v>1017</v>
      </c>
      <c r="Y26" s="568">
        <v>0.47251037344398339</v>
      </c>
      <c r="Z26" s="565">
        <v>42.66799410029499</v>
      </c>
      <c r="AA26" s="591">
        <v>135</v>
      </c>
      <c r="AB26" s="569">
        <v>7.0020746887966806E-2</v>
      </c>
      <c r="AC26" s="571">
        <v>321.43222222222226</v>
      </c>
      <c r="AD26" s="572" t="s">
        <v>123</v>
      </c>
      <c r="AE26" s="573" t="s">
        <v>123</v>
      </c>
      <c r="AF26" s="650" t="s">
        <v>123</v>
      </c>
      <c r="AG26" s="651" t="s">
        <v>123</v>
      </c>
      <c r="AH26" s="567" t="s">
        <v>123</v>
      </c>
      <c r="AI26" s="573" t="s">
        <v>123</v>
      </c>
      <c r="AJ26" s="652" t="s">
        <v>123</v>
      </c>
      <c r="AK26" s="565" t="s">
        <v>123</v>
      </c>
      <c r="AL26" s="574" t="s">
        <v>123</v>
      </c>
      <c r="AM26" s="569" t="s">
        <v>123</v>
      </c>
      <c r="AN26" s="570" t="s">
        <v>123</v>
      </c>
      <c r="AO26" s="635"/>
      <c r="AP26" s="575"/>
      <c r="AQ26" s="636"/>
      <c r="AR26" s="637"/>
      <c r="AS26" s="638"/>
      <c r="AT26" s="579"/>
      <c r="AU26" s="580"/>
    </row>
    <row r="27" spans="1:47" ht="21" hidden="1" customHeight="1">
      <c r="A27" t="s">
        <v>393</v>
      </c>
      <c r="B27" t="s">
        <v>372</v>
      </c>
      <c r="C27" s="759"/>
      <c r="D27" s="561" t="s">
        <v>52</v>
      </c>
      <c r="E27" s="561" t="s">
        <v>121</v>
      </c>
      <c r="F27" s="561" t="s">
        <v>44</v>
      </c>
      <c r="G27" s="562" t="s">
        <v>42</v>
      </c>
      <c r="H27" s="563">
        <v>0</v>
      </c>
      <c r="I27" s="564">
        <v>0</v>
      </c>
      <c r="J27" s="565" t="s">
        <v>123</v>
      </c>
      <c r="K27" s="566">
        <v>0</v>
      </c>
      <c r="L27" s="567" t="s">
        <v>123</v>
      </c>
      <c r="M27" s="564">
        <v>0</v>
      </c>
      <c r="N27" s="568" t="s">
        <v>123</v>
      </c>
      <c r="O27" s="565" t="s">
        <v>123</v>
      </c>
      <c r="P27" s="564">
        <v>0</v>
      </c>
      <c r="Q27" s="569" t="s">
        <v>123</v>
      </c>
      <c r="R27" s="570" t="s">
        <v>123</v>
      </c>
      <c r="S27" s="565" t="s">
        <v>123</v>
      </c>
      <c r="T27" s="573" t="s">
        <v>123</v>
      </c>
      <c r="U27" s="650" t="s">
        <v>123</v>
      </c>
      <c r="V27" s="566" t="s">
        <v>123</v>
      </c>
      <c r="W27" s="567" t="s">
        <v>123</v>
      </c>
      <c r="X27" s="564" t="s">
        <v>123</v>
      </c>
      <c r="Y27" s="568" t="s">
        <v>123</v>
      </c>
      <c r="Z27" s="565" t="s">
        <v>123</v>
      </c>
      <c r="AA27" s="591" t="s">
        <v>123</v>
      </c>
      <c r="AB27" s="569" t="s">
        <v>123</v>
      </c>
      <c r="AC27" s="571" t="s">
        <v>123</v>
      </c>
      <c r="AD27" s="572">
        <v>0</v>
      </c>
      <c r="AE27" s="573">
        <v>0</v>
      </c>
      <c r="AF27" s="650" t="s">
        <v>123</v>
      </c>
      <c r="AG27" s="651">
        <v>0</v>
      </c>
      <c r="AH27" s="567" t="s">
        <v>123</v>
      </c>
      <c r="AI27" s="573">
        <v>0</v>
      </c>
      <c r="AJ27" s="652" t="s">
        <v>123</v>
      </c>
      <c r="AK27" s="565" t="s">
        <v>123</v>
      </c>
      <c r="AL27" s="574">
        <v>0</v>
      </c>
      <c r="AM27" s="569" t="s">
        <v>123</v>
      </c>
      <c r="AN27" s="570" t="s">
        <v>123</v>
      </c>
      <c r="AO27" s="635"/>
      <c r="AP27" s="575"/>
      <c r="AQ27" s="636"/>
      <c r="AR27" s="637"/>
      <c r="AS27" s="638"/>
      <c r="AT27" s="579"/>
      <c r="AU27" s="580"/>
    </row>
    <row r="28" spans="1:47" ht="21" hidden="1" customHeight="1">
      <c r="A28" t="s">
        <v>394</v>
      </c>
      <c r="B28" t="s">
        <v>374</v>
      </c>
      <c r="C28" s="759"/>
      <c r="D28" s="561" t="s">
        <v>40</v>
      </c>
      <c r="E28" s="561" t="s">
        <v>142</v>
      </c>
      <c r="F28" s="561" t="s">
        <v>44</v>
      </c>
      <c r="G28" s="562" t="s">
        <v>60</v>
      </c>
      <c r="H28" s="563">
        <v>7788.59</v>
      </c>
      <c r="I28" s="564">
        <v>149</v>
      </c>
      <c r="J28" s="565">
        <v>52.272416107382554</v>
      </c>
      <c r="K28" s="566">
        <v>175</v>
      </c>
      <c r="L28" s="567">
        <v>-0.17449664429530201</v>
      </c>
      <c r="M28" s="564">
        <v>100</v>
      </c>
      <c r="N28" s="568">
        <v>0.42857142857142855</v>
      </c>
      <c r="O28" s="565">
        <v>77.885900000000007</v>
      </c>
      <c r="P28" s="564">
        <v>53</v>
      </c>
      <c r="Q28" s="569">
        <v>0.30285714285714288</v>
      </c>
      <c r="R28" s="570">
        <v>146.9545283018868</v>
      </c>
      <c r="S28" s="565" t="s">
        <v>123</v>
      </c>
      <c r="T28" s="573" t="s">
        <v>123</v>
      </c>
      <c r="U28" s="650" t="s">
        <v>123</v>
      </c>
      <c r="V28" s="566" t="s">
        <v>123</v>
      </c>
      <c r="W28" s="567" t="s">
        <v>123</v>
      </c>
      <c r="X28" s="564" t="s">
        <v>123</v>
      </c>
      <c r="Y28" s="568" t="s">
        <v>123</v>
      </c>
      <c r="Z28" s="565" t="s">
        <v>123</v>
      </c>
      <c r="AA28" s="591" t="s">
        <v>123</v>
      </c>
      <c r="AB28" s="569" t="s">
        <v>123</v>
      </c>
      <c r="AC28" s="571" t="s">
        <v>123</v>
      </c>
      <c r="AD28" s="572">
        <v>7788.59</v>
      </c>
      <c r="AE28" s="573">
        <v>149</v>
      </c>
      <c r="AF28" s="650">
        <v>52.272416107382554</v>
      </c>
      <c r="AG28" s="651">
        <v>175</v>
      </c>
      <c r="AH28" s="567">
        <v>-0.17449664429530201</v>
      </c>
      <c r="AI28" s="573">
        <v>100</v>
      </c>
      <c r="AJ28" s="652">
        <v>0.42857142857142855</v>
      </c>
      <c r="AK28" s="565">
        <v>77.885900000000007</v>
      </c>
      <c r="AL28" s="574">
        <v>53</v>
      </c>
      <c r="AM28" s="569">
        <v>0.30285714285714288</v>
      </c>
      <c r="AN28" s="570">
        <v>146.9545283018868</v>
      </c>
      <c r="AO28" s="635"/>
      <c r="AP28" s="575"/>
      <c r="AQ28" s="636"/>
      <c r="AR28" s="637"/>
      <c r="AS28" s="638"/>
      <c r="AT28" s="579"/>
      <c r="AU28" s="580"/>
    </row>
    <row r="29" spans="1:47" ht="21" hidden="1" customHeight="1">
      <c r="A29" t="s">
        <v>395</v>
      </c>
      <c r="B29" t="s">
        <v>376</v>
      </c>
      <c r="C29" s="759"/>
      <c r="D29" s="561" t="s">
        <v>52</v>
      </c>
      <c r="E29" s="561" t="s">
        <v>145</v>
      </c>
      <c r="F29" s="561" t="s">
        <v>44</v>
      </c>
      <c r="G29" s="562" t="s">
        <v>60</v>
      </c>
      <c r="H29" s="563">
        <v>32649.15</v>
      </c>
      <c r="I29" s="564">
        <v>692</v>
      </c>
      <c r="J29" s="565">
        <v>47.180852601156069</v>
      </c>
      <c r="K29" s="566">
        <v>640</v>
      </c>
      <c r="L29" s="567">
        <v>7.5144508670520235E-2</v>
      </c>
      <c r="M29" s="564">
        <v>492</v>
      </c>
      <c r="N29" s="568">
        <v>0.23125000000000001</v>
      </c>
      <c r="O29" s="565">
        <v>66.360060975609755</v>
      </c>
      <c r="P29" s="564">
        <v>198</v>
      </c>
      <c r="Q29" s="569">
        <v>0.30937500000000001</v>
      </c>
      <c r="R29" s="570">
        <v>164.89469696969698</v>
      </c>
      <c r="S29" s="565" t="s">
        <v>123</v>
      </c>
      <c r="T29" s="573" t="s">
        <v>123</v>
      </c>
      <c r="U29" s="650" t="s">
        <v>123</v>
      </c>
      <c r="V29" s="566" t="s">
        <v>123</v>
      </c>
      <c r="W29" s="567" t="s">
        <v>123</v>
      </c>
      <c r="X29" s="564" t="s">
        <v>123</v>
      </c>
      <c r="Y29" s="568" t="s">
        <v>123</v>
      </c>
      <c r="Z29" s="565" t="s">
        <v>123</v>
      </c>
      <c r="AA29" s="591" t="s">
        <v>123</v>
      </c>
      <c r="AB29" s="569" t="s">
        <v>123</v>
      </c>
      <c r="AC29" s="571" t="s">
        <v>123</v>
      </c>
      <c r="AD29" s="572">
        <v>32649.15</v>
      </c>
      <c r="AE29" s="573">
        <v>692</v>
      </c>
      <c r="AF29" s="650">
        <v>47.180852601156069</v>
      </c>
      <c r="AG29" s="651">
        <v>640</v>
      </c>
      <c r="AH29" s="567">
        <v>7.5144508670520235E-2</v>
      </c>
      <c r="AI29" s="573">
        <v>492</v>
      </c>
      <c r="AJ29" s="652">
        <v>0.23125000000000001</v>
      </c>
      <c r="AK29" s="565">
        <v>66.360060975609755</v>
      </c>
      <c r="AL29" s="574">
        <v>198</v>
      </c>
      <c r="AM29" s="569">
        <v>0.30937500000000001</v>
      </c>
      <c r="AN29" s="570">
        <v>164.89469696969698</v>
      </c>
      <c r="AO29" s="635"/>
      <c r="AP29" s="575"/>
      <c r="AQ29" s="636"/>
      <c r="AR29" s="637"/>
      <c r="AS29" s="638"/>
      <c r="AT29" s="579"/>
      <c r="AU29" s="580"/>
    </row>
    <row r="30" spans="1:47" ht="21" hidden="1" customHeight="1">
      <c r="A30" t="s">
        <v>396</v>
      </c>
      <c r="B30" t="s">
        <v>378</v>
      </c>
      <c r="C30" s="760"/>
      <c r="D30" s="584" t="s">
        <v>40</v>
      </c>
      <c r="E30" s="584" t="s">
        <v>57</v>
      </c>
      <c r="F30" s="584" t="s">
        <v>57</v>
      </c>
      <c r="G30" s="585" t="s">
        <v>60</v>
      </c>
      <c r="H30" s="563">
        <v>33106.11</v>
      </c>
      <c r="I30" s="581">
        <v>2101</v>
      </c>
      <c r="J30" s="582">
        <v>15.757310804378868</v>
      </c>
      <c r="K30" s="566">
        <v>1149</v>
      </c>
      <c r="L30" s="567">
        <v>0.45311756306520706</v>
      </c>
      <c r="M30" s="564">
        <v>403</v>
      </c>
      <c r="N30" s="568">
        <v>0.64926022628372493</v>
      </c>
      <c r="O30" s="586">
        <v>82.149156327543423</v>
      </c>
      <c r="P30" s="564">
        <v>152</v>
      </c>
      <c r="Q30" s="569">
        <v>0.13228894691035684</v>
      </c>
      <c r="R30" s="570">
        <v>217.8033552631579</v>
      </c>
      <c r="S30" s="565">
        <v>33106.11</v>
      </c>
      <c r="T30" s="573">
        <v>2101</v>
      </c>
      <c r="U30" s="650">
        <v>15.757310804378868</v>
      </c>
      <c r="V30" s="566">
        <v>1149</v>
      </c>
      <c r="W30" s="567">
        <v>0.45311756306520706</v>
      </c>
      <c r="X30" s="564">
        <v>403</v>
      </c>
      <c r="Y30" s="568">
        <v>0.64926022628372493</v>
      </c>
      <c r="Z30" s="586">
        <v>82.149156327543423</v>
      </c>
      <c r="AA30" s="591">
        <v>152</v>
      </c>
      <c r="AB30" s="569">
        <v>0.13228894691035684</v>
      </c>
      <c r="AC30" s="571">
        <v>217.8033552631579</v>
      </c>
      <c r="AD30" s="572" t="s">
        <v>123</v>
      </c>
      <c r="AE30" s="573" t="s">
        <v>123</v>
      </c>
      <c r="AF30" s="650" t="s">
        <v>123</v>
      </c>
      <c r="AG30" s="651" t="s">
        <v>123</v>
      </c>
      <c r="AH30" s="567" t="s">
        <v>123</v>
      </c>
      <c r="AI30" s="573" t="s">
        <v>123</v>
      </c>
      <c r="AJ30" s="652" t="s">
        <v>123</v>
      </c>
      <c r="AK30" s="586" t="s">
        <v>123</v>
      </c>
      <c r="AL30" s="574" t="s">
        <v>123</v>
      </c>
      <c r="AM30" s="569" t="s">
        <v>123</v>
      </c>
      <c r="AN30" s="570" t="s">
        <v>123</v>
      </c>
      <c r="AO30" s="635"/>
      <c r="AP30" s="587"/>
      <c r="AQ30" s="636"/>
      <c r="AR30" s="641"/>
      <c r="AS30" s="638"/>
      <c r="AT30" s="579"/>
      <c r="AU30" s="580"/>
    </row>
    <row r="31" spans="1:47" ht="49.95" customHeight="1">
      <c r="C31" s="758" t="s">
        <v>176</v>
      </c>
      <c r="D31" s="541"/>
      <c r="E31" s="541"/>
      <c r="F31" s="541"/>
      <c r="G31" s="542" t="s">
        <v>139</v>
      </c>
      <c r="H31" s="543">
        <v>147043.72</v>
      </c>
      <c r="I31" s="544">
        <v>8180</v>
      </c>
      <c r="J31" s="545">
        <v>17.976004889975549</v>
      </c>
      <c r="K31" s="546">
        <v>5560</v>
      </c>
      <c r="L31" s="547">
        <v>0.32029339853300731</v>
      </c>
      <c r="M31" s="544">
        <v>3857</v>
      </c>
      <c r="N31" s="548">
        <v>0.30629496402877698</v>
      </c>
      <c r="O31" s="549">
        <v>38.123857920663731</v>
      </c>
      <c r="P31" s="544">
        <v>723</v>
      </c>
      <c r="Q31" s="548">
        <v>0.13003597122302157</v>
      </c>
      <c r="R31" s="550">
        <v>203.37997233748271</v>
      </c>
      <c r="S31" s="545">
        <v>85938.62</v>
      </c>
      <c r="T31" s="553">
        <v>6528</v>
      </c>
      <c r="U31" s="549">
        <v>13.164617034313725</v>
      </c>
      <c r="V31" s="546">
        <v>4012</v>
      </c>
      <c r="W31" s="547">
        <v>0.38541666666666669</v>
      </c>
      <c r="X31" s="544">
        <v>2565</v>
      </c>
      <c r="Y31" s="548">
        <v>0.36066799601196409</v>
      </c>
      <c r="Z31" s="549">
        <v>33.50433528265107</v>
      </c>
      <c r="AA31" s="629">
        <v>299</v>
      </c>
      <c r="AB31" s="548">
        <v>7.4526420737786633E-2</v>
      </c>
      <c r="AC31" s="551">
        <v>287.42013377926418</v>
      </c>
      <c r="AD31" s="552">
        <v>61105.100000000006</v>
      </c>
      <c r="AE31" s="553">
        <v>1652</v>
      </c>
      <c r="AF31" s="549">
        <v>36.9885593220339</v>
      </c>
      <c r="AG31" s="546">
        <v>1548</v>
      </c>
      <c r="AH31" s="547">
        <v>6.2953995157384993E-2</v>
      </c>
      <c r="AI31" s="553">
        <v>1292</v>
      </c>
      <c r="AJ31" s="643">
        <v>0.16537467700258399</v>
      </c>
      <c r="AK31" s="549">
        <v>47.294969040247679</v>
      </c>
      <c r="AL31" s="554">
        <v>424</v>
      </c>
      <c r="AM31" s="548">
        <v>0.27390180878552972</v>
      </c>
      <c r="AN31" s="550">
        <v>144.11580188679247</v>
      </c>
      <c r="AO31" s="630">
        <v>0.87329999999999997</v>
      </c>
      <c r="AP31" s="555">
        <v>0.86660000000000004</v>
      </c>
      <c r="AQ31" s="631">
        <v>0.86739999999999995</v>
      </c>
      <c r="AR31" s="632">
        <v>0.8468</v>
      </c>
      <c r="AS31" s="633">
        <v>2.14</v>
      </c>
      <c r="AT31" s="583"/>
      <c r="AU31" s="589" t="s">
        <v>177</v>
      </c>
    </row>
    <row r="32" spans="1:47" ht="21" hidden="1" customHeight="1">
      <c r="A32" t="s">
        <v>397</v>
      </c>
      <c r="B32" t="s">
        <v>366</v>
      </c>
      <c r="C32" s="759"/>
      <c r="D32" s="561" t="s">
        <v>40</v>
      </c>
      <c r="E32" s="561" t="s">
        <v>142</v>
      </c>
      <c r="F32" s="561" t="s">
        <v>44</v>
      </c>
      <c r="G32" s="562" t="s">
        <v>42</v>
      </c>
      <c r="H32" s="563">
        <v>5448.63</v>
      </c>
      <c r="I32" s="564">
        <v>182</v>
      </c>
      <c r="J32" s="565">
        <v>29.937527472527474</v>
      </c>
      <c r="K32" s="566">
        <v>167</v>
      </c>
      <c r="L32" s="567">
        <v>8.2417582417582416E-2</v>
      </c>
      <c r="M32" s="564">
        <v>153</v>
      </c>
      <c r="N32" s="568">
        <v>8.3832335329341312E-2</v>
      </c>
      <c r="O32" s="565">
        <v>35.611960784313723</v>
      </c>
      <c r="P32" s="564">
        <v>69</v>
      </c>
      <c r="Q32" s="569">
        <v>0.41317365269461076</v>
      </c>
      <c r="R32" s="570">
        <v>78.965652173913043</v>
      </c>
      <c r="S32" s="565" t="s">
        <v>123</v>
      </c>
      <c r="T32" s="573" t="s">
        <v>123</v>
      </c>
      <c r="U32" s="650" t="s">
        <v>123</v>
      </c>
      <c r="V32" s="566" t="s">
        <v>123</v>
      </c>
      <c r="W32" s="567" t="s">
        <v>123</v>
      </c>
      <c r="X32" s="564" t="s">
        <v>123</v>
      </c>
      <c r="Y32" s="568" t="s">
        <v>123</v>
      </c>
      <c r="Z32" s="565" t="s">
        <v>123</v>
      </c>
      <c r="AA32" s="591" t="s">
        <v>123</v>
      </c>
      <c r="AB32" s="569" t="s">
        <v>123</v>
      </c>
      <c r="AC32" s="571" t="s">
        <v>123</v>
      </c>
      <c r="AD32" s="572">
        <v>5448.63</v>
      </c>
      <c r="AE32" s="573">
        <v>182</v>
      </c>
      <c r="AF32" s="650">
        <v>29.937527472527474</v>
      </c>
      <c r="AG32" s="651">
        <v>167</v>
      </c>
      <c r="AH32" s="567">
        <v>8.2417582417582416E-2</v>
      </c>
      <c r="AI32" s="573">
        <v>153</v>
      </c>
      <c r="AJ32" s="652">
        <v>8.3832335329341312E-2</v>
      </c>
      <c r="AK32" s="565">
        <v>35.611960784313723</v>
      </c>
      <c r="AL32" s="574">
        <v>69</v>
      </c>
      <c r="AM32" s="569">
        <v>0.41317365269461076</v>
      </c>
      <c r="AN32" s="570">
        <v>78.965652173913043</v>
      </c>
      <c r="AO32" s="635"/>
      <c r="AP32" s="575"/>
      <c r="AQ32" s="636"/>
      <c r="AR32" s="637"/>
      <c r="AS32" s="638"/>
      <c r="AT32" s="579"/>
      <c r="AU32" s="580"/>
    </row>
    <row r="33" spans="1:47" ht="21" hidden="1" customHeight="1">
      <c r="A33" t="s">
        <v>398</v>
      </c>
      <c r="B33" t="s">
        <v>368</v>
      </c>
      <c r="C33" s="759"/>
      <c r="D33" s="561" t="s">
        <v>52</v>
      </c>
      <c r="E33" s="561" t="s">
        <v>145</v>
      </c>
      <c r="F33" s="561" t="s">
        <v>44</v>
      </c>
      <c r="G33" s="562" t="s">
        <v>42</v>
      </c>
      <c r="H33" s="563">
        <v>19856.150000000001</v>
      </c>
      <c r="I33" s="564">
        <v>638</v>
      </c>
      <c r="J33" s="565">
        <v>31.122492163009408</v>
      </c>
      <c r="K33" s="566">
        <v>582</v>
      </c>
      <c r="L33" s="567">
        <v>8.7774294670846395E-2</v>
      </c>
      <c r="M33" s="564">
        <v>477</v>
      </c>
      <c r="N33" s="568">
        <v>0.18041237113402062</v>
      </c>
      <c r="O33" s="565">
        <v>41.627148846960168</v>
      </c>
      <c r="P33" s="564">
        <v>136</v>
      </c>
      <c r="Q33" s="569">
        <v>0.23367697594501718</v>
      </c>
      <c r="R33" s="570">
        <v>146.00110294117647</v>
      </c>
      <c r="S33" s="565" t="s">
        <v>123</v>
      </c>
      <c r="T33" s="573" t="s">
        <v>123</v>
      </c>
      <c r="U33" s="650" t="s">
        <v>123</v>
      </c>
      <c r="V33" s="566" t="s">
        <v>123</v>
      </c>
      <c r="W33" s="567" t="s">
        <v>123</v>
      </c>
      <c r="X33" s="564" t="s">
        <v>123</v>
      </c>
      <c r="Y33" s="568" t="s">
        <v>123</v>
      </c>
      <c r="Z33" s="565" t="s">
        <v>123</v>
      </c>
      <c r="AA33" s="591" t="s">
        <v>123</v>
      </c>
      <c r="AB33" s="569" t="s">
        <v>123</v>
      </c>
      <c r="AC33" s="571" t="s">
        <v>123</v>
      </c>
      <c r="AD33" s="572">
        <v>19856.150000000001</v>
      </c>
      <c r="AE33" s="573">
        <v>638</v>
      </c>
      <c r="AF33" s="650">
        <v>31.122492163009408</v>
      </c>
      <c r="AG33" s="651">
        <v>582</v>
      </c>
      <c r="AH33" s="567">
        <v>8.7774294670846395E-2</v>
      </c>
      <c r="AI33" s="573">
        <v>477</v>
      </c>
      <c r="AJ33" s="652">
        <v>0.18041237113402062</v>
      </c>
      <c r="AK33" s="565">
        <v>41.627148846960168</v>
      </c>
      <c r="AL33" s="574">
        <v>136</v>
      </c>
      <c r="AM33" s="569">
        <v>0.23367697594501718</v>
      </c>
      <c r="AN33" s="570">
        <v>146.00110294117647</v>
      </c>
      <c r="AO33" s="635"/>
      <c r="AP33" s="575"/>
      <c r="AQ33" s="636"/>
      <c r="AR33" s="637"/>
      <c r="AS33" s="638"/>
      <c r="AT33" s="579"/>
      <c r="AU33" s="580"/>
    </row>
    <row r="34" spans="1:47" ht="21" hidden="1" customHeight="1">
      <c r="A34" t="s">
        <v>399</v>
      </c>
      <c r="B34" t="s">
        <v>370</v>
      </c>
      <c r="C34" s="759"/>
      <c r="D34" s="561" t="s">
        <v>40</v>
      </c>
      <c r="E34" s="561" t="s">
        <v>57</v>
      </c>
      <c r="F34" s="561" t="s">
        <v>57</v>
      </c>
      <c r="G34" s="562" t="s">
        <v>42</v>
      </c>
      <c r="H34" s="563">
        <v>46085.270000000004</v>
      </c>
      <c r="I34" s="564">
        <v>3505</v>
      </c>
      <c r="J34" s="565">
        <v>13.148436519258203</v>
      </c>
      <c r="K34" s="566">
        <v>2273</v>
      </c>
      <c r="L34" s="567">
        <v>0.35149786019971468</v>
      </c>
      <c r="M34" s="564">
        <v>1353</v>
      </c>
      <c r="N34" s="568">
        <v>0.40475142982842061</v>
      </c>
      <c r="O34" s="565">
        <v>34.061544715447155</v>
      </c>
      <c r="P34" s="564">
        <v>139</v>
      </c>
      <c r="Q34" s="569">
        <v>6.1152661680598325E-2</v>
      </c>
      <c r="R34" s="570">
        <v>331.54870503597124</v>
      </c>
      <c r="S34" s="565">
        <v>46085.270000000004</v>
      </c>
      <c r="T34" s="573">
        <v>3505</v>
      </c>
      <c r="U34" s="650">
        <v>13.148436519258203</v>
      </c>
      <c r="V34" s="566">
        <v>2273</v>
      </c>
      <c r="W34" s="567">
        <v>0.35149786019971468</v>
      </c>
      <c r="X34" s="564">
        <v>1353</v>
      </c>
      <c r="Y34" s="568">
        <v>0.40475142982842061</v>
      </c>
      <c r="Z34" s="565">
        <v>34.061544715447155</v>
      </c>
      <c r="AA34" s="591">
        <v>139</v>
      </c>
      <c r="AB34" s="569">
        <v>6.1152661680598325E-2</v>
      </c>
      <c r="AC34" s="571">
        <v>331.54870503597124</v>
      </c>
      <c r="AD34" s="572" t="s">
        <v>123</v>
      </c>
      <c r="AE34" s="573" t="s">
        <v>123</v>
      </c>
      <c r="AF34" s="650" t="s">
        <v>123</v>
      </c>
      <c r="AG34" s="651" t="s">
        <v>123</v>
      </c>
      <c r="AH34" s="567" t="s">
        <v>123</v>
      </c>
      <c r="AI34" s="573" t="s">
        <v>123</v>
      </c>
      <c r="AJ34" s="652" t="s">
        <v>123</v>
      </c>
      <c r="AK34" s="565" t="s">
        <v>123</v>
      </c>
      <c r="AL34" s="574" t="s">
        <v>123</v>
      </c>
      <c r="AM34" s="569" t="s">
        <v>123</v>
      </c>
      <c r="AN34" s="570" t="s">
        <v>123</v>
      </c>
      <c r="AO34" s="635"/>
      <c r="AP34" s="575"/>
      <c r="AQ34" s="636"/>
      <c r="AR34" s="637"/>
      <c r="AS34" s="638"/>
      <c r="AT34" s="579"/>
      <c r="AU34" s="580"/>
    </row>
    <row r="35" spans="1:47" ht="21" hidden="1" customHeight="1">
      <c r="A35" t="s">
        <v>400</v>
      </c>
      <c r="B35" t="s">
        <v>372</v>
      </c>
      <c r="C35" s="759"/>
      <c r="D35" s="561" t="s">
        <v>52</v>
      </c>
      <c r="E35" s="561" t="s">
        <v>121</v>
      </c>
      <c r="F35" s="561" t="s">
        <v>44</v>
      </c>
      <c r="G35" s="562" t="s">
        <v>42</v>
      </c>
      <c r="H35" s="563">
        <v>0</v>
      </c>
      <c r="I35" s="564">
        <v>0</v>
      </c>
      <c r="J35" s="565" t="s">
        <v>123</v>
      </c>
      <c r="K35" s="566">
        <v>0</v>
      </c>
      <c r="L35" s="567" t="s">
        <v>123</v>
      </c>
      <c r="M35" s="564">
        <v>0</v>
      </c>
      <c r="N35" s="568" t="s">
        <v>123</v>
      </c>
      <c r="O35" s="565" t="s">
        <v>123</v>
      </c>
      <c r="P35" s="564">
        <v>0</v>
      </c>
      <c r="Q35" s="569" t="s">
        <v>123</v>
      </c>
      <c r="R35" s="570" t="s">
        <v>123</v>
      </c>
      <c r="S35" s="565" t="s">
        <v>123</v>
      </c>
      <c r="T35" s="573" t="s">
        <v>123</v>
      </c>
      <c r="U35" s="650" t="s">
        <v>123</v>
      </c>
      <c r="V35" s="566" t="s">
        <v>123</v>
      </c>
      <c r="W35" s="567" t="s">
        <v>123</v>
      </c>
      <c r="X35" s="564" t="s">
        <v>123</v>
      </c>
      <c r="Y35" s="568" t="s">
        <v>123</v>
      </c>
      <c r="Z35" s="565" t="s">
        <v>123</v>
      </c>
      <c r="AA35" s="591" t="s">
        <v>123</v>
      </c>
      <c r="AB35" s="569" t="s">
        <v>123</v>
      </c>
      <c r="AC35" s="571" t="s">
        <v>123</v>
      </c>
      <c r="AD35" s="572">
        <v>0</v>
      </c>
      <c r="AE35" s="573">
        <v>0</v>
      </c>
      <c r="AF35" s="650" t="s">
        <v>123</v>
      </c>
      <c r="AG35" s="651">
        <v>0</v>
      </c>
      <c r="AH35" s="567" t="s">
        <v>123</v>
      </c>
      <c r="AI35" s="573">
        <v>0</v>
      </c>
      <c r="AJ35" s="652" t="s">
        <v>123</v>
      </c>
      <c r="AK35" s="565" t="s">
        <v>123</v>
      </c>
      <c r="AL35" s="574">
        <v>0</v>
      </c>
      <c r="AM35" s="569" t="s">
        <v>123</v>
      </c>
      <c r="AN35" s="570" t="s">
        <v>123</v>
      </c>
      <c r="AO35" s="635"/>
      <c r="AP35" s="575"/>
      <c r="AQ35" s="636"/>
      <c r="AR35" s="637"/>
      <c r="AS35" s="638"/>
      <c r="AT35" s="579"/>
      <c r="AU35" s="580"/>
    </row>
    <row r="36" spans="1:47" ht="21" hidden="1" customHeight="1">
      <c r="A36" t="s">
        <v>401</v>
      </c>
      <c r="B36" t="s">
        <v>374</v>
      </c>
      <c r="C36" s="759"/>
      <c r="D36" s="561" t="s">
        <v>40</v>
      </c>
      <c r="E36" s="561" t="s">
        <v>142</v>
      </c>
      <c r="F36" s="561" t="s">
        <v>44</v>
      </c>
      <c r="G36" s="562" t="s">
        <v>60</v>
      </c>
      <c r="H36" s="563">
        <v>3757.36</v>
      </c>
      <c r="I36" s="564">
        <v>125</v>
      </c>
      <c r="J36" s="565">
        <v>30.058880000000002</v>
      </c>
      <c r="K36" s="566">
        <v>138</v>
      </c>
      <c r="L36" s="567">
        <v>-0.104</v>
      </c>
      <c r="M36" s="564">
        <v>106</v>
      </c>
      <c r="N36" s="568">
        <v>0.2318840579710145</v>
      </c>
      <c r="O36" s="565">
        <v>35.446792452830188</v>
      </c>
      <c r="P36" s="564">
        <v>30</v>
      </c>
      <c r="Q36" s="569">
        <v>0.21739130434782608</v>
      </c>
      <c r="R36" s="570">
        <v>125.24533333333333</v>
      </c>
      <c r="S36" s="565" t="s">
        <v>123</v>
      </c>
      <c r="T36" s="573" t="s">
        <v>123</v>
      </c>
      <c r="U36" s="650" t="s">
        <v>123</v>
      </c>
      <c r="V36" s="566" t="s">
        <v>123</v>
      </c>
      <c r="W36" s="567" t="s">
        <v>123</v>
      </c>
      <c r="X36" s="564" t="s">
        <v>123</v>
      </c>
      <c r="Y36" s="568" t="s">
        <v>123</v>
      </c>
      <c r="Z36" s="565" t="s">
        <v>123</v>
      </c>
      <c r="AA36" s="591" t="s">
        <v>123</v>
      </c>
      <c r="AB36" s="569" t="s">
        <v>123</v>
      </c>
      <c r="AC36" s="571" t="s">
        <v>123</v>
      </c>
      <c r="AD36" s="572">
        <v>3757.36</v>
      </c>
      <c r="AE36" s="573">
        <v>125</v>
      </c>
      <c r="AF36" s="650">
        <v>30.058880000000002</v>
      </c>
      <c r="AG36" s="651">
        <v>138</v>
      </c>
      <c r="AH36" s="567">
        <v>-0.104</v>
      </c>
      <c r="AI36" s="573">
        <v>106</v>
      </c>
      <c r="AJ36" s="652">
        <v>0.2318840579710145</v>
      </c>
      <c r="AK36" s="565">
        <v>35.446792452830188</v>
      </c>
      <c r="AL36" s="574">
        <v>30</v>
      </c>
      <c r="AM36" s="569">
        <v>0.21739130434782608</v>
      </c>
      <c r="AN36" s="570">
        <v>125.24533333333333</v>
      </c>
      <c r="AO36" s="635"/>
      <c r="AP36" s="575"/>
      <c r="AQ36" s="636"/>
      <c r="AR36" s="637"/>
      <c r="AS36" s="638"/>
      <c r="AT36" s="579"/>
      <c r="AU36" s="580"/>
    </row>
    <row r="37" spans="1:47" ht="21" hidden="1" customHeight="1">
      <c r="A37" t="s">
        <v>402</v>
      </c>
      <c r="B37" t="s">
        <v>376</v>
      </c>
      <c r="C37" s="759"/>
      <c r="D37" s="561" t="s">
        <v>52</v>
      </c>
      <c r="E37" s="561" t="s">
        <v>145</v>
      </c>
      <c r="F37" s="561" t="s">
        <v>44</v>
      </c>
      <c r="G37" s="562" t="s">
        <v>60</v>
      </c>
      <c r="H37" s="563">
        <v>32042.959999999999</v>
      </c>
      <c r="I37" s="564">
        <v>707</v>
      </c>
      <c r="J37" s="565">
        <v>45.322432814710041</v>
      </c>
      <c r="K37" s="566">
        <v>661</v>
      </c>
      <c r="L37" s="567">
        <v>6.5063649222065062E-2</v>
      </c>
      <c r="M37" s="564">
        <v>556</v>
      </c>
      <c r="N37" s="568">
        <v>0.15885022692889561</v>
      </c>
      <c r="O37" s="565">
        <v>57.631223021582734</v>
      </c>
      <c r="P37" s="564">
        <v>189</v>
      </c>
      <c r="Q37" s="569">
        <v>0.28593040847201212</v>
      </c>
      <c r="R37" s="570">
        <v>169.5394708994709</v>
      </c>
      <c r="S37" s="565" t="s">
        <v>123</v>
      </c>
      <c r="T37" s="573" t="s">
        <v>123</v>
      </c>
      <c r="U37" s="650" t="s">
        <v>123</v>
      </c>
      <c r="V37" s="566" t="s">
        <v>123</v>
      </c>
      <c r="W37" s="567" t="s">
        <v>123</v>
      </c>
      <c r="X37" s="564" t="s">
        <v>123</v>
      </c>
      <c r="Y37" s="568" t="s">
        <v>123</v>
      </c>
      <c r="Z37" s="565" t="s">
        <v>123</v>
      </c>
      <c r="AA37" s="591" t="s">
        <v>123</v>
      </c>
      <c r="AB37" s="569" t="s">
        <v>123</v>
      </c>
      <c r="AC37" s="571" t="s">
        <v>123</v>
      </c>
      <c r="AD37" s="572">
        <v>32042.959999999999</v>
      </c>
      <c r="AE37" s="573">
        <v>707</v>
      </c>
      <c r="AF37" s="650">
        <v>45.322432814710041</v>
      </c>
      <c r="AG37" s="651">
        <v>661</v>
      </c>
      <c r="AH37" s="567">
        <v>6.5063649222065062E-2</v>
      </c>
      <c r="AI37" s="573">
        <v>556</v>
      </c>
      <c r="AJ37" s="652">
        <v>0.15885022692889561</v>
      </c>
      <c r="AK37" s="565">
        <v>57.631223021582734</v>
      </c>
      <c r="AL37" s="574">
        <v>189</v>
      </c>
      <c r="AM37" s="569">
        <v>0.28593040847201212</v>
      </c>
      <c r="AN37" s="570">
        <v>169.5394708994709</v>
      </c>
      <c r="AO37" s="635"/>
      <c r="AP37" s="575"/>
      <c r="AQ37" s="636"/>
      <c r="AR37" s="637"/>
      <c r="AS37" s="638"/>
      <c r="AT37" s="579"/>
      <c r="AU37" s="580"/>
    </row>
    <row r="38" spans="1:47" ht="21" hidden="1" customHeight="1">
      <c r="A38" t="s">
        <v>403</v>
      </c>
      <c r="B38" t="s">
        <v>378</v>
      </c>
      <c r="C38" s="760"/>
      <c r="D38" s="584" t="s">
        <v>40</v>
      </c>
      <c r="E38" s="584" t="s">
        <v>57</v>
      </c>
      <c r="F38" s="584" t="s">
        <v>57</v>
      </c>
      <c r="G38" s="585" t="s">
        <v>60</v>
      </c>
      <c r="H38" s="563">
        <v>39853.35</v>
      </c>
      <c r="I38" s="581">
        <v>3023</v>
      </c>
      <c r="J38" s="582">
        <v>13.183377439629506</v>
      </c>
      <c r="K38" s="566">
        <v>1739</v>
      </c>
      <c r="L38" s="567">
        <v>0.42474363215348993</v>
      </c>
      <c r="M38" s="564">
        <v>1212</v>
      </c>
      <c r="N38" s="568">
        <v>0.30304772857964346</v>
      </c>
      <c r="O38" s="586">
        <v>32.882301980198015</v>
      </c>
      <c r="P38" s="564">
        <v>160</v>
      </c>
      <c r="Q38" s="569">
        <v>9.200690051753882E-2</v>
      </c>
      <c r="R38" s="570">
        <v>249.0834375</v>
      </c>
      <c r="S38" s="565">
        <v>39853.35</v>
      </c>
      <c r="T38" s="573">
        <v>3023</v>
      </c>
      <c r="U38" s="650">
        <v>13.183377439629506</v>
      </c>
      <c r="V38" s="566">
        <v>1739</v>
      </c>
      <c r="W38" s="567">
        <v>0.42474363215348993</v>
      </c>
      <c r="X38" s="564">
        <v>1212</v>
      </c>
      <c r="Y38" s="568">
        <v>0.30304772857964346</v>
      </c>
      <c r="Z38" s="586">
        <v>32.882301980198015</v>
      </c>
      <c r="AA38" s="591">
        <v>160</v>
      </c>
      <c r="AB38" s="569">
        <v>9.200690051753882E-2</v>
      </c>
      <c r="AC38" s="571">
        <v>249.0834375</v>
      </c>
      <c r="AD38" s="572" t="s">
        <v>123</v>
      </c>
      <c r="AE38" s="573" t="s">
        <v>123</v>
      </c>
      <c r="AF38" s="650" t="s">
        <v>123</v>
      </c>
      <c r="AG38" s="651" t="s">
        <v>123</v>
      </c>
      <c r="AH38" s="567" t="s">
        <v>123</v>
      </c>
      <c r="AI38" s="573" t="s">
        <v>123</v>
      </c>
      <c r="AJ38" s="652" t="s">
        <v>123</v>
      </c>
      <c r="AK38" s="586" t="s">
        <v>123</v>
      </c>
      <c r="AL38" s="574" t="s">
        <v>123</v>
      </c>
      <c r="AM38" s="569" t="s">
        <v>123</v>
      </c>
      <c r="AN38" s="570" t="s">
        <v>123</v>
      </c>
      <c r="AO38" s="635"/>
      <c r="AP38" s="587"/>
      <c r="AQ38" s="636"/>
      <c r="AR38" s="641"/>
      <c r="AS38" s="638"/>
      <c r="AT38" s="579"/>
      <c r="AU38" s="580"/>
    </row>
    <row r="39" spans="1:47" ht="49.95" customHeight="1">
      <c r="C39" s="758" t="s">
        <v>185</v>
      </c>
      <c r="D39" s="541"/>
      <c r="E39" s="541"/>
      <c r="F39" s="541"/>
      <c r="G39" s="542" t="s">
        <v>139</v>
      </c>
      <c r="H39" s="543">
        <v>156052.82</v>
      </c>
      <c r="I39" s="544">
        <v>9908</v>
      </c>
      <c r="J39" s="545">
        <v>15.750183689947518</v>
      </c>
      <c r="K39" s="546">
        <v>6270</v>
      </c>
      <c r="L39" s="547">
        <v>0.36717803794913201</v>
      </c>
      <c r="M39" s="544">
        <v>5747</v>
      </c>
      <c r="N39" s="548">
        <v>8.3413078149920258E-2</v>
      </c>
      <c r="O39" s="549">
        <v>27.153788063337394</v>
      </c>
      <c r="P39" s="544">
        <v>834</v>
      </c>
      <c r="Q39" s="548">
        <v>0.13301435406698564</v>
      </c>
      <c r="R39" s="550">
        <v>187.11369304556356</v>
      </c>
      <c r="S39" s="545">
        <v>85056.920000000013</v>
      </c>
      <c r="T39" s="553">
        <v>8109</v>
      </c>
      <c r="U39" s="549">
        <v>10.489199654704651</v>
      </c>
      <c r="V39" s="546">
        <v>4635</v>
      </c>
      <c r="W39" s="547">
        <v>0.42841287458379579</v>
      </c>
      <c r="X39" s="544">
        <v>4165</v>
      </c>
      <c r="Y39" s="548">
        <v>0.10140237324703344</v>
      </c>
      <c r="Z39" s="549">
        <v>20.42182953181273</v>
      </c>
      <c r="AA39" s="629">
        <v>307</v>
      </c>
      <c r="AB39" s="548">
        <v>6.6235167206040987E-2</v>
      </c>
      <c r="AC39" s="551">
        <v>277.05837133550494</v>
      </c>
      <c r="AD39" s="552">
        <v>70995.899999999994</v>
      </c>
      <c r="AE39" s="553">
        <v>1799</v>
      </c>
      <c r="AF39" s="549">
        <v>39.464091161756528</v>
      </c>
      <c r="AG39" s="546">
        <v>1635</v>
      </c>
      <c r="AH39" s="547">
        <v>9.1161756531406332E-2</v>
      </c>
      <c r="AI39" s="553">
        <v>1582</v>
      </c>
      <c r="AJ39" s="643">
        <v>3.2415902140672782E-2</v>
      </c>
      <c r="AK39" s="549">
        <v>44.877307206068267</v>
      </c>
      <c r="AL39" s="554">
        <v>527</v>
      </c>
      <c r="AM39" s="548">
        <v>0.32232415902140671</v>
      </c>
      <c r="AN39" s="550">
        <v>134.71707779886148</v>
      </c>
      <c r="AO39" s="630">
        <v>0.88949999999999996</v>
      </c>
      <c r="AP39" s="555">
        <v>0.87870000000000004</v>
      </c>
      <c r="AQ39" s="631">
        <v>0.88049999999999995</v>
      </c>
      <c r="AR39" s="632">
        <v>0.876</v>
      </c>
      <c r="AS39" s="633">
        <v>2.02</v>
      </c>
      <c r="AT39" s="583" t="s">
        <v>404</v>
      </c>
      <c r="AU39" s="589" t="s">
        <v>405</v>
      </c>
    </row>
    <row r="40" spans="1:47" ht="21" hidden="1" customHeight="1">
      <c r="A40" t="s">
        <v>406</v>
      </c>
      <c r="B40" t="s">
        <v>366</v>
      </c>
      <c r="C40" s="759"/>
      <c r="D40" s="561" t="s">
        <v>40</v>
      </c>
      <c r="E40" s="561" t="s">
        <v>142</v>
      </c>
      <c r="F40" s="561" t="s">
        <v>44</v>
      </c>
      <c r="G40" s="562" t="s">
        <v>42</v>
      </c>
      <c r="H40" s="563">
        <v>7119</v>
      </c>
      <c r="I40" s="564">
        <v>236</v>
      </c>
      <c r="J40" s="565">
        <v>30.165254237288135</v>
      </c>
      <c r="K40" s="566">
        <v>227</v>
      </c>
      <c r="L40" s="567">
        <v>3.8135593220338986E-2</v>
      </c>
      <c r="M40" s="564">
        <v>218</v>
      </c>
      <c r="N40" s="568">
        <v>3.9647577092511016E-2</v>
      </c>
      <c r="O40" s="565">
        <v>32.655963302752291</v>
      </c>
      <c r="P40" s="564">
        <v>99</v>
      </c>
      <c r="Q40" s="569">
        <v>0.43612334801762115</v>
      </c>
      <c r="R40" s="570">
        <v>71.909090909090907</v>
      </c>
      <c r="S40" s="565" t="s">
        <v>123</v>
      </c>
      <c r="T40" s="573" t="s">
        <v>123</v>
      </c>
      <c r="U40" s="650" t="s">
        <v>123</v>
      </c>
      <c r="V40" s="566" t="s">
        <v>123</v>
      </c>
      <c r="W40" s="567" t="s">
        <v>123</v>
      </c>
      <c r="X40" s="564" t="s">
        <v>123</v>
      </c>
      <c r="Y40" s="568" t="s">
        <v>123</v>
      </c>
      <c r="Z40" s="565" t="s">
        <v>123</v>
      </c>
      <c r="AA40" s="591" t="s">
        <v>123</v>
      </c>
      <c r="AB40" s="569" t="s">
        <v>123</v>
      </c>
      <c r="AC40" s="571" t="s">
        <v>123</v>
      </c>
      <c r="AD40" s="572">
        <v>7119</v>
      </c>
      <c r="AE40" s="573">
        <v>236</v>
      </c>
      <c r="AF40" s="650">
        <v>30.165254237288135</v>
      </c>
      <c r="AG40" s="651">
        <v>227</v>
      </c>
      <c r="AH40" s="567">
        <v>3.8135593220338986E-2</v>
      </c>
      <c r="AI40" s="573">
        <v>218</v>
      </c>
      <c r="AJ40" s="652">
        <v>3.9647577092511016E-2</v>
      </c>
      <c r="AK40" s="565">
        <v>32.655963302752291</v>
      </c>
      <c r="AL40" s="574">
        <v>99</v>
      </c>
      <c r="AM40" s="569">
        <v>0.43612334801762115</v>
      </c>
      <c r="AN40" s="570">
        <v>71.909090909090907</v>
      </c>
      <c r="AO40" s="635"/>
      <c r="AP40" s="575"/>
      <c r="AQ40" s="636"/>
      <c r="AR40" s="637"/>
      <c r="AS40" s="642"/>
      <c r="AT40" s="579"/>
      <c r="AU40" s="580"/>
    </row>
    <row r="41" spans="1:47" ht="21" hidden="1" customHeight="1">
      <c r="A41" t="s">
        <v>407</v>
      </c>
      <c r="B41" t="s">
        <v>368</v>
      </c>
      <c r="C41" s="759"/>
      <c r="D41" s="561" t="s">
        <v>52</v>
      </c>
      <c r="E41" s="561" t="s">
        <v>145</v>
      </c>
      <c r="F41" s="561" t="s">
        <v>44</v>
      </c>
      <c r="G41" s="562" t="s">
        <v>42</v>
      </c>
      <c r="H41" s="563">
        <v>22319.89</v>
      </c>
      <c r="I41" s="564">
        <v>632</v>
      </c>
      <c r="J41" s="565">
        <v>35.316281645569617</v>
      </c>
      <c r="K41" s="566">
        <v>561</v>
      </c>
      <c r="L41" s="567">
        <v>0.11234177215189874</v>
      </c>
      <c r="M41" s="564">
        <v>539</v>
      </c>
      <c r="N41" s="568">
        <v>3.9215686274509803E-2</v>
      </c>
      <c r="O41" s="565">
        <v>41.409814471243038</v>
      </c>
      <c r="P41" s="564">
        <v>138</v>
      </c>
      <c r="Q41" s="569">
        <v>0.24598930481283424</v>
      </c>
      <c r="R41" s="570">
        <v>161.73833333333332</v>
      </c>
      <c r="S41" s="565" t="s">
        <v>123</v>
      </c>
      <c r="T41" s="573" t="s">
        <v>123</v>
      </c>
      <c r="U41" s="650" t="s">
        <v>123</v>
      </c>
      <c r="V41" s="566" t="s">
        <v>123</v>
      </c>
      <c r="W41" s="567" t="s">
        <v>123</v>
      </c>
      <c r="X41" s="564" t="s">
        <v>123</v>
      </c>
      <c r="Y41" s="568" t="s">
        <v>123</v>
      </c>
      <c r="Z41" s="565" t="s">
        <v>123</v>
      </c>
      <c r="AA41" s="591" t="s">
        <v>123</v>
      </c>
      <c r="AB41" s="569" t="s">
        <v>123</v>
      </c>
      <c r="AC41" s="571" t="s">
        <v>123</v>
      </c>
      <c r="AD41" s="572">
        <v>22319.89</v>
      </c>
      <c r="AE41" s="573">
        <v>632</v>
      </c>
      <c r="AF41" s="650">
        <v>35.316281645569617</v>
      </c>
      <c r="AG41" s="651">
        <v>561</v>
      </c>
      <c r="AH41" s="567">
        <v>0.11234177215189874</v>
      </c>
      <c r="AI41" s="573">
        <v>539</v>
      </c>
      <c r="AJ41" s="652">
        <v>3.9215686274509803E-2</v>
      </c>
      <c r="AK41" s="565">
        <v>41.409814471243038</v>
      </c>
      <c r="AL41" s="574">
        <v>138</v>
      </c>
      <c r="AM41" s="569">
        <v>0.24598930481283424</v>
      </c>
      <c r="AN41" s="570">
        <v>161.73833333333332</v>
      </c>
      <c r="AO41" s="635"/>
      <c r="AP41" s="575"/>
      <c r="AQ41" s="636"/>
      <c r="AR41" s="637"/>
      <c r="AS41" s="642"/>
      <c r="AT41" s="579"/>
      <c r="AU41" s="580"/>
    </row>
    <row r="42" spans="1:47" ht="21" hidden="1" customHeight="1">
      <c r="A42" t="s">
        <v>408</v>
      </c>
      <c r="B42" t="s">
        <v>370</v>
      </c>
      <c r="C42" s="759"/>
      <c r="D42" s="561" t="s">
        <v>40</v>
      </c>
      <c r="E42" s="561" t="s">
        <v>57</v>
      </c>
      <c r="F42" s="561" t="s">
        <v>57</v>
      </c>
      <c r="G42" s="562" t="s">
        <v>42</v>
      </c>
      <c r="H42" s="563">
        <v>45908.450000000004</v>
      </c>
      <c r="I42" s="564">
        <v>3719</v>
      </c>
      <c r="J42" s="565">
        <v>12.344299542887875</v>
      </c>
      <c r="K42" s="566">
        <v>2172</v>
      </c>
      <c r="L42" s="567">
        <v>0.41597203549341222</v>
      </c>
      <c r="M42" s="564">
        <v>1941</v>
      </c>
      <c r="N42" s="568">
        <v>0.106353591160221</v>
      </c>
      <c r="O42" s="565">
        <v>23.651957753735189</v>
      </c>
      <c r="P42" s="564">
        <v>150</v>
      </c>
      <c r="Q42" s="569">
        <v>6.9060773480662987E-2</v>
      </c>
      <c r="R42" s="570">
        <v>306.05633333333338</v>
      </c>
      <c r="S42" s="565">
        <v>45908.450000000004</v>
      </c>
      <c r="T42" s="573">
        <v>3719</v>
      </c>
      <c r="U42" s="650">
        <v>12.344299542887875</v>
      </c>
      <c r="V42" s="566">
        <v>2172</v>
      </c>
      <c r="W42" s="567">
        <v>0.41597203549341222</v>
      </c>
      <c r="X42" s="564">
        <v>1941</v>
      </c>
      <c r="Y42" s="568">
        <v>0.106353591160221</v>
      </c>
      <c r="Z42" s="565">
        <v>23.651957753735189</v>
      </c>
      <c r="AA42" s="591">
        <v>150</v>
      </c>
      <c r="AB42" s="569">
        <v>6.9060773480662987E-2</v>
      </c>
      <c r="AC42" s="571">
        <v>306.05633333333338</v>
      </c>
      <c r="AD42" s="572" t="s">
        <v>123</v>
      </c>
      <c r="AE42" s="573" t="s">
        <v>123</v>
      </c>
      <c r="AF42" s="650" t="s">
        <v>123</v>
      </c>
      <c r="AG42" s="651" t="s">
        <v>123</v>
      </c>
      <c r="AH42" s="567" t="s">
        <v>123</v>
      </c>
      <c r="AI42" s="573" t="s">
        <v>123</v>
      </c>
      <c r="AJ42" s="652" t="s">
        <v>123</v>
      </c>
      <c r="AK42" s="565" t="s">
        <v>123</v>
      </c>
      <c r="AL42" s="574" t="s">
        <v>123</v>
      </c>
      <c r="AM42" s="569" t="s">
        <v>123</v>
      </c>
      <c r="AN42" s="570" t="s">
        <v>123</v>
      </c>
      <c r="AO42" s="635"/>
      <c r="AP42" s="575"/>
      <c r="AQ42" s="636"/>
      <c r="AR42" s="637"/>
      <c r="AS42" s="642"/>
      <c r="AT42" s="579"/>
      <c r="AU42" s="580"/>
    </row>
    <row r="43" spans="1:47" ht="21" hidden="1" customHeight="1">
      <c r="A43" t="s">
        <v>409</v>
      </c>
      <c r="B43" t="s">
        <v>372</v>
      </c>
      <c r="C43" s="759"/>
      <c r="D43" s="561" t="s">
        <v>52</v>
      </c>
      <c r="E43" s="561" t="s">
        <v>121</v>
      </c>
      <c r="F43" s="561" t="s">
        <v>44</v>
      </c>
      <c r="G43" s="562" t="s">
        <v>42</v>
      </c>
      <c r="H43" s="563">
        <v>0</v>
      </c>
      <c r="I43" s="564">
        <v>0</v>
      </c>
      <c r="J43" s="565" t="s">
        <v>123</v>
      </c>
      <c r="K43" s="566">
        <v>0</v>
      </c>
      <c r="L43" s="567" t="s">
        <v>123</v>
      </c>
      <c r="M43" s="564">
        <v>0</v>
      </c>
      <c r="N43" s="568" t="s">
        <v>123</v>
      </c>
      <c r="O43" s="565" t="s">
        <v>123</v>
      </c>
      <c r="P43" s="564">
        <v>0</v>
      </c>
      <c r="Q43" s="569" t="s">
        <v>123</v>
      </c>
      <c r="R43" s="570" t="s">
        <v>123</v>
      </c>
      <c r="S43" s="565" t="s">
        <v>123</v>
      </c>
      <c r="T43" s="573" t="s">
        <v>123</v>
      </c>
      <c r="U43" s="650" t="s">
        <v>123</v>
      </c>
      <c r="V43" s="566" t="s">
        <v>123</v>
      </c>
      <c r="W43" s="567" t="s">
        <v>123</v>
      </c>
      <c r="X43" s="564" t="s">
        <v>123</v>
      </c>
      <c r="Y43" s="568" t="s">
        <v>123</v>
      </c>
      <c r="Z43" s="565" t="s">
        <v>123</v>
      </c>
      <c r="AA43" s="591" t="s">
        <v>123</v>
      </c>
      <c r="AB43" s="569" t="s">
        <v>123</v>
      </c>
      <c r="AC43" s="571" t="s">
        <v>123</v>
      </c>
      <c r="AD43" s="572">
        <v>0</v>
      </c>
      <c r="AE43" s="573">
        <v>0</v>
      </c>
      <c r="AF43" s="650" t="s">
        <v>123</v>
      </c>
      <c r="AG43" s="651">
        <v>0</v>
      </c>
      <c r="AH43" s="567" t="s">
        <v>123</v>
      </c>
      <c r="AI43" s="573">
        <v>0</v>
      </c>
      <c r="AJ43" s="652" t="s">
        <v>123</v>
      </c>
      <c r="AK43" s="565" t="s">
        <v>123</v>
      </c>
      <c r="AL43" s="574">
        <v>0</v>
      </c>
      <c r="AM43" s="569" t="s">
        <v>123</v>
      </c>
      <c r="AN43" s="570" t="s">
        <v>123</v>
      </c>
      <c r="AO43" s="635"/>
      <c r="AP43" s="575"/>
      <c r="AQ43" s="636"/>
      <c r="AR43" s="637"/>
      <c r="AS43" s="642"/>
      <c r="AT43" s="579"/>
      <c r="AU43" s="580"/>
    </row>
    <row r="44" spans="1:47" ht="21" hidden="1" customHeight="1">
      <c r="A44" t="s">
        <v>410</v>
      </c>
      <c r="B44" t="s">
        <v>374</v>
      </c>
      <c r="C44" s="759"/>
      <c r="D44" s="561" t="s">
        <v>40</v>
      </c>
      <c r="E44" s="561" t="s">
        <v>142</v>
      </c>
      <c r="F44" s="561" t="s">
        <v>44</v>
      </c>
      <c r="G44" s="562" t="s">
        <v>60</v>
      </c>
      <c r="H44" s="563">
        <v>5246.44</v>
      </c>
      <c r="I44" s="564">
        <v>192</v>
      </c>
      <c r="J44" s="565">
        <v>27.325208333333332</v>
      </c>
      <c r="K44" s="566">
        <v>188</v>
      </c>
      <c r="L44" s="567">
        <v>2.0833333333333332E-2</v>
      </c>
      <c r="M44" s="564">
        <v>181</v>
      </c>
      <c r="N44" s="568">
        <v>3.7234042553191488E-2</v>
      </c>
      <c r="O44" s="565">
        <v>28.985856353591156</v>
      </c>
      <c r="P44" s="564">
        <v>68</v>
      </c>
      <c r="Q44" s="569">
        <v>0.36170212765957449</v>
      </c>
      <c r="R44" s="570">
        <v>77.153529411764694</v>
      </c>
      <c r="S44" s="565" t="s">
        <v>123</v>
      </c>
      <c r="T44" s="573" t="s">
        <v>123</v>
      </c>
      <c r="U44" s="650" t="s">
        <v>123</v>
      </c>
      <c r="V44" s="566" t="s">
        <v>123</v>
      </c>
      <c r="W44" s="567" t="s">
        <v>123</v>
      </c>
      <c r="X44" s="564" t="s">
        <v>123</v>
      </c>
      <c r="Y44" s="568" t="s">
        <v>123</v>
      </c>
      <c r="Z44" s="565" t="s">
        <v>123</v>
      </c>
      <c r="AA44" s="591" t="s">
        <v>123</v>
      </c>
      <c r="AB44" s="569" t="s">
        <v>123</v>
      </c>
      <c r="AC44" s="571" t="s">
        <v>123</v>
      </c>
      <c r="AD44" s="572">
        <v>5246.44</v>
      </c>
      <c r="AE44" s="573">
        <v>192</v>
      </c>
      <c r="AF44" s="650">
        <v>27.325208333333332</v>
      </c>
      <c r="AG44" s="651">
        <v>188</v>
      </c>
      <c r="AH44" s="567">
        <v>2.0833333333333332E-2</v>
      </c>
      <c r="AI44" s="573">
        <v>181</v>
      </c>
      <c r="AJ44" s="652">
        <v>3.7234042553191488E-2</v>
      </c>
      <c r="AK44" s="565">
        <v>28.985856353591156</v>
      </c>
      <c r="AL44" s="574">
        <v>68</v>
      </c>
      <c r="AM44" s="569">
        <v>0.36170212765957449</v>
      </c>
      <c r="AN44" s="570">
        <v>77.153529411764694</v>
      </c>
      <c r="AO44" s="635"/>
      <c r="AP44" s="575"/>
      <c r="AQ44" s="636"/>
      <c r="AR44" s="637"/>
      <c r="AS44" s="642"/>
      <c r="AT44" s="579"/>
      <c r="AU44" s="580"/>
    </row>
    <row r="45" spans="1:47" ht="21" hidden="1" customHeight="1">
      <c r="A45" t="s">
        <v>411</v>
      </c>
      <c r="B45" t="s">
        <v>376</v>
      </c>
      <c r="C45" s="759"/>
      <c r="D45" s="561" t="s">
        <v>52</v>
      </c>
      <c r="E45" s="561" t="s">
        <v>145</v>
      </c>
      <c r="F45" s="561" t="s">
        <v>44</v>
      </c>
      <c r="G45" s="562" t="s">
        <v>60</v>
      </c>
      <c r="H45" s="563">
        <v>36310.57</v>
      </c>
      <c r="I45" s="564">
        <v>739</v>
      </c>
      <c r="J45" s="565">
        <v>49.134736129905278</v>
      </c>
      <c r="K45" s="566">
        <v>659</v>
      </c>
      <c r="L45" s="567">
        <v>0.10825439783491204</v>
      </c>
      <c r="M45" s="564">
        <v>644</v>
      </c>
      <c r="N45" s="568">
        <v>2.2761760242792108E-2</v>
      </c>
      <c r="O45" s="565">
        <v>56.382872670807451</v>
      </c>
      <c r="P45" s="564">
        <v>222</v>
      </c>
      <c r="Q45" s="569">
        <v>0.33687405159332323</v>
      </c>
      <c r="R45" s="570">
        <v>163.56112612612611</v>
      </c>
      <c r="S45" s="565" t="s">
        <v>123</v>
      </c>
      <c r="T45" s="573" t="s">
        <v>123</v>
      </c>
      <c r="U45" s="650" t="s">
        <v>123</v>
      </c>
      <c r="V45" s="566" t="s">
        <v>123</v>
      </c>
      <c r="W45" s="567" t="s">
        <v>123</v>
      </c>
      <c r="X45" s="564" t="s">
        <v>123</v>
      </c>
      <c r="Y45" s="568" t="s">
        <v>123</v>
      </c>
      <c r="Z45" s="565" t="s">
        <v>123</v>
      </c>
      <c r="AA45" s="591" t="s">
        <v>123</v>
      </c>
      <c r="AB45" s="569" t="s">
        <v>123</v>
      </c>
      <c r="AC45" s="571" t="s">
        <v>123</v>
      </c>
      <c r="AD45" s="572">
        <v>36310.57</v>
      </c>
      <c r="AE45" s="573">
        <v>739</v>
      </c>
      <c r="AF45" s="650">
        <v>49.134736129905278</v>
      </c>
      <c r="AG45" s="651">
        <v>659</v>
      </c>
      <c r="AH45" s="567">
        <v>0.10825439783491204</v>
      </c>
      <c r="AI45" s="573">
        <v>644</v>
      </c>
      <c r="AJ45" s="652">
        <v>2.2761760242792108E-2</v>
      </c>
      <c r="AK45" s="565">
        <v>56.382872670807451</v>
      </c>
      <c r="AL45" s="574">
        <v>222</v>
      </c>
      <c r="AM45" s="569">
        <v>0.33687405159332323</v>
      </c>
      <c r="AN45" s="570">
        <v>163.56112612612611</v>
      </c>
      <c r="AO45" s="635"/>
      <c r="AP45" s="575"/>
      <c r="AQ45" s="636"/>
      <c r="AR45" s="637"/>
      <c r="AS45" s="642"/>
      <c r="AT45" s="579"/>
      <c r="AU45" s="580"/>
    </row>
    <row r="46" spans="1:47" ht="21" hidden="1" customHeight="1">
      <c r="A46" t="s">
        <v>412</v>
      </c>
      <c r="B46" t="s">
        <v>378</v>
      </c>
      <c r="C46" s="760"/>
      <c r="D46" s="584" t="s">
        <v>40</v>
      </c>
      <c r="E46" s="584" t="s">
        <v>57</v>
      </c>
      <c r="F46" s="584" t="s">
        <v>57</v>
      </c>
      <c r="G46" s="585" t="s">
        <v>60</v>
      </c>
      <c r="H46" s="563">
        <v>39148.47</v>
      </c>
      <c r="I46" s="581">
        <v>4390</v>
      </c>
      <c r="J46" s="582">
        <v>8.9176469248291568</v>
      </c>
      <c r="K46" s="566">
        <v>2463</v>
      </c>
      <c r="L46" s="567">
        <v>0.43895216400911163</v>
      </c>
      <c r="M46" s="564">
        <v>2224</v>
      </c>
      <c r="N46" s="568">
        <v>9.7036134794965492E-2</v>
      </c>
      <c r="O46" s="586">
        <v>17.602729316546764</v>
      </c>
      <c r="P46" s="564">
        <v>157</v>
      </c>
      <c r="Q46" s="569">
        <v>6.3743402354851805E-2</v>
      </c>
      <c r="R46" s="570">
        <v>249.35331210191083</v>
      </c>
      <c r="S46" s="565">
        <v>39148.47</v>
      </c>
      <c r="T46" s="573">
        <v>4390</v>
      </c>
      <c r="U46" s="650">
        <v>8.9176469248291568</v>
      </c>
      <c r="V46" s="566">
        <v>2463</v>
      </c>
      <c r="W46" s="567">
        <v>0.43895216400911163</v>
      </c>
      <c r="X46" s="564">
        <v>2224</v>
      </c>
      <c r="Y46" s="568">
        <v>9.7036134794965492E-2</v>
      </c>
      <c r="Z46" s="586">
        <v>17.602729316546764</v>
      </c>
      <c r="AA46" s="591">
        <v>157</v>
      </c>
      <c r="AB46" s="569">
        <v>6.3743402354851805E-2</v>
      </c>
      <c r="AC46" s="571">
        <v>249.35331210191083</v>
      </c>
      <c r="AD46" s="572" t="s">
        <v>123</v>
      </c>
      <c r="AE46" s="573" t="s">
        <v>123</v>
      </c>
      <c r="AF46" s="650" t="s">
        <v>123</v>
      </c>
      <c r="AG46" s="651" t="s">
        <v>123</v>
      </c>
      <c r="AH46" s="567" t="s">
        <v>123</v>
      </c>
      <c r="AI46" s="573" t="s">
        <v>123</v>
      </c>
      <c r="AJ46" s="652" t="s">
        <v>123</v>
      </c>
      <c r="AK46" s="586" t="s">
        <v>123</v>
      </c>
      <c r="AL46" s="574" t="s">
        <v>123</v>
      </c>
      <c r="AM46" s="569" t="s">
        <v>123</v>
      </c>
      <c r="AN46" s="570" t="s">
        <v>123</v>
      </c>
      <c r="AO46" s="635"/>
      <c r="AP46" s="587"/>
      <c r="AQ46" s="636"/>
      <c r="AR46" s="641"/>
      <c r="AS46" s="642"/>
      <c r="AT46" s="579"/>
      <c r="AU46" s="580"/>
    </row>
    <row r="47" spans="1:47" ht="49.95" customHeight="1">
      <c r="C47" s="758" t="s">
        <v>195</v>
      </c>
      <c r="D47" s="541"/>
      <c r="E47" s="541"/>
      <c r="F47" s="541"/>
      <c r="G47" s="542" t="s">
        <v>139</v>
      </c>
      <c r="H47" s="543">
        <v>147943.76999999999</v>
      </c>
      <c r="I47" s="544">
        <v>8077</v>
      </c>
      <c r="J47" s="545">
        <v>18.316673269778381</v>
      </c>
      <c r="K47" s="546">
        <v>5930</v>
      </c>
      <c r="L47" s="547">
        <v>0.26581651603318063</v>
      </c>
      <c r="M47" s="544">
        <v>5531</v>
      </c>
      <c r="N47" s="548">
        <v>6.7284991568296801E-2</v>
      </c>
      <c r="O47" s="549">
        <v>26.748105225094918</v>
      </c>
      <c r="P47" s="544">
        <v>788</v>
      </c>
      <c r="Q47" s="548">
        <v>0.13288364249578416</v>
      </c>
      <c r="R47" s="550">
        <v>187.74590101522841</v>
      </c>
      <c r="S47" s="545">
        <v>75121.739999999991</v>
      </c>
      <c r="T47" s="553">
        <v>6134</v>
      </c>
      <c r="U47" s="549">
        <v>12.24677861102054</v>
      </c>
      <c r="V47" s="546">
        <v>4059</v>
      </c>
      <c r="W47" s="547">
        <v>0.33827844799478318</v>
      </c>
      <c r="X47" s="544">
        <v>3743</v>
      </c>
      <c r="Y47" s="548">
        <v>7.7851687607785172E-2</v>
      </c>
      <c r="Z47" s="549">
        <v>20.069927865348649</v>
      </c>
      <c r="AA47" s="629">
        <v>207</v>
      </c>
      <c r="AB47" s="548">
        <v>5.0997782705099776E-2</v>
      </c>
      <c r="AC47" s="551">
        <v>362.90695652173906</v>
      </c>
      <c r="AD47" s="552">
        <v>72822.03</v>
      </c>
      <c r="AE47" s="553">
        <v>1943</v>
      </c>
      <c r="AF47" s="549">
        <v>37.479171384457025</v>
      </c>
      <c r="AG47" s="546">
        <v>1871</v>
      </c>
      <c r="AH47" s="547">
        <v>3.7056098816263511E-2</v>
      </c>
      <c r="AI47" s="553">
        <v>1788</v>
      </c>
      <c r="AJ47" s="643">
        <v>4.4361304115446289E-2</v>
      </c>
      <c r="AK47" s="549">
        <v>40.728204697986577</v>
      </c>
      <c r="AL47" s="554">
        <v>581</v>
      </c>
      <c r="AM47" s="548">
        <v>0.310529128808124</v>
      </c>
      <c r="AN47" s="550">
        <v>125.3391222030981</v>
      </c>
      <c r="AO47" s="630">
        <v>0.89480000000000004</v>
      </c>
      <c r="AP47" s="555">
        <v>0.81299999999999994</v>
      </c>
      <c r="AQ47" s="631">
        <v>0.82879999999999998</v>
      </c>
      <c r="AR47" s="632">
        <v>0.82189999999999996</v>
      </c>
      <c r="AS47" s="633">
        <v>2.44</v>
      </c>
      <c r="AT47" s="583"/>
      <c r="AU47" s="580"/>
    </row>
    <row r="48" spans="1:47" ht="21" hidden="1" customHeight="1">
      <c r="A48" t="s">
        <v>413</v>
      </c>
      <c r="B48" t="s">
        <v>366</v>
      </c>
      <c r="C48" s="759"/>
      <c r="D48" s="561" t="s">
        <v>40</v>
      </c>
      <c r="E48" s="561" t="s">
        <v>142</v>
      </c>
      <c r="F48" s="561" t="s">
        <v>44</v>
      </c>
      <c r="G48" s="562" t="s">
        <v>42</v>
      </c>
      <c r="H48" s="563">
        <v>8428.19</v>
      </c>
      <c r="I48" s="564">
        <v>309</v>
      </c>
      <c r="J48" s="565">
        <v>27.27569579288026</v>
      </c>
      <c r="K48" s="566">
        <v>311</v>
      </c>
      <c r="L48" s="567">
        <v>-6.4724919093851136E-3</v>
      </c>
      <c r="M48" s="564">
        <v>299</v>
      </c>
      <c r="N48" s="568">
        <v>3.8585209003215437E-2</v>
      </c>
      <c r="O48" s="565">
        <v>28.187926421404683</v>
      </c>
      <c r="P48" s="564">
        <v>115</v>
      </c>
      <c r="Q48" s="569">
        <v>0.36977491961414793</v>
      </c>
      <c r="R48" s="570">
        <v>73.288608695652172</v>
      </c>
      <c r="S48" s="565" t="s">
        <v>123</v>
      </c>
      <c r="T48" s="573" t="s">
        <v>123</v>
      </c>
      <c r="U48" s="650" t="s">
        <v>123</v>
      </c>
      <c r="V48" s="566" t="s">
        <v>123</v>
      </c>
      <c r="W48" s="567" t="s">
        <v>123</v>
      </c>
      <c r="X48" s="564" t="s">
        <v>123</v>
      </c>
      <c r="Y48" s="568" t="s">
        <v>123</v>
      </c>
      <c r="Z48" s="565" t="s">
        <v>123</v>
      </c>
      <c r="AA48" s="591" t="s">
        <v>123</v>
      </c>
      <c r="AB48" s="569" t="s">
        <v>123</v>
      </c>
      <c r="AC48" s="571" t="s">
        <v>123</v>
      </c>
      <c r="AD48" s="572">
        <v>8428.19</v>
      </c>
      <c r="AE48" s="573">
        <v>309</v>
      </c>
      <c r="AF48" s="650">
        <v>27.27569579288026</v>
      </c>
      <c r="AG48" s="651">
        <v>311</v>
      </c>
      <c r="AH48" s="567">
        <v>-6.4724919093851136E-3</v>
      </c>
      <c r="AI48" s="573">
        <v>299</v>
      </c>
      <c r="AJ48" s="652">
        <v>3.8585209003215437E-2</v>
      </c>
      <c r="AK48" s="565">
        <v>28.187926421404683</v>
      </c>
      <c r="AL48" s="574">
        <v>115</v>
      </c>
      <c r="AM48" s="569">
        <v>0.36977491961414793</v>
      </c>
      <c r="AN48" s="570">
        <v>73.288608695652172</v>
      </c>
      <c r="AO48" s="635"/>
      <c r="AP48" s="575"/>
      <c r="AQ48" s="636"/>
      <c r="AR48" s="637"/>
      <c r="AS48" s="633">
        <v>2.44</v>
      </c>
      <c r="AT48" s="579"/>
      <c r="AU48" s="580"/>
    </row>
    <row r="49" spans="1:47" ht="21" hidden="1" customHeight="1">
      <c r="A49" t="s">
        <v>414</v>
      </c>
      <c r="B49" t="s">
        <v>368</v>
      </c>
      <c r="C49" s="759"/>
      <c r="D49" s="561" t="s">
        <v>52</v>
      </c>
      <c r="E49" s="561" t="s">
        <v>145</v>
      </c>
      <c r="F49" s="561" t="s">
        <v>44</v>
      </c>
      <c r="G49" s="562" t="s">
        <v>42</v>
      </c>
      <c r="H49" s="563">
        <v>22275.16</v>
      </c>
      <c r="I49" s="564">
        <v>607</v>
      </c>
      <c r="J49" s="565">
        <v>36.697133443163096</v>
      </c>
      <c r="K49" s="566">
        <v>577</v>
      </c>
      <c r="L49" s="567">
        <v>4.9423393739703461E-2</v>
      </c>
      <c r="M49" s="564">
        <v>541</v>
      </c>
      <c r="N49" s="568">
        <v>6.2391681109185443E-2</v>
      </c>
      <c r="O49" s="565">
        <v>41.174048059149726</v>
      </c>
      <c r="P49" s="564">
        <v>168</v>
      </c>
      <c r="Q49" s="569">
        <v>0.29116117850953205</v>
      </c>
      <c r="R49" s="570">
        <v>132.59023809523811</v>
      </c>
      <c r="S49" s="565" t="s">
        <v>123</v>
      </c>
      <c r="T49" s="573" t="s">
        <v>123</v>
      </c>
      <c r="U49" s="650" t="s">
        <v>123</v>
      </c>
      <c r="V49" s="566" t="s">
        <v>123</v>
      </c>
      <c r="W49" s="567" t="s">
        <v>123</v>
      </c>
      <c r="X49" s="564" t="s">
        <v>123</v>
      </c>
      <c r="Y49" s="568" t="s">
        <v>123</v>
      </c>
      <c r="Z49" s="565" t="s">
        <v>123</v>
      </c>
      <c r="AA49" s="591" t="s">
        <v>123</v>
      </c>
      <c r="AB49" s="569" t="s">
        <v>123</v>
      </c>
      <c r="AC49" s="571" t="s">
        <v>123</v>
      </c>
      <c r="AD49" s="572">
        <v>22275.16</v>
      </c>
      <c r="AE49" s="573">
        <v>607</v>
      </c>
      <c r="AF49" s="650">
        <v>36.697133443163096</v>
      </c>
      <c r="AG49" s="651">
        <v>577</v>
      </c>
      <c r="AH49" s="567">
        <v>4.9423393739703461E-2</v>
      </c>
      <c r="AI49" s="573">
        <v>541</v>
      </c>
      <c r="AJ49" s="652">
        <v>6.2391681109185443E-2</v>
      </c>
      <c r="AK49" s="565">
        <v>41.174048059149726</v>
      </c>
      <c r="AL49" s="574">
        <v>168</v>
      </c>
      <c r="AM49" s="569">
        <v>0.29116117850953205</v>
      </c>
      <c r="AN49" s="570">
        <v>132.59023809523811</v>
      </c>
      <c r="AO49" s="635"/>
      <c r="AP49" s="575"/>
      <c r="AQ49" s="636"/>
      <c r="AR49" s="637"/>
      <c r="AS49" s="633">
        <v>2.44</v>
      </c>
      <c r="AT49" s="579"/>
      <c r="AU49" s="580"/>
    </row>
    <row r="50" spans="1:47" ht="21" hidden="1" customHeight="1">
      <c r="A50" t="s">
        <v>415</v>
      </c>
      <c r="B50" t="s">
        <v>370</v>
      </c>
      <c r="C50" s="759"/>
      <c r="D50" s="561" t="s">
        <v>40</v>
      </c>
      <c r="E50" s="561" t="s">
        <v>57</v>
      </c>
      <c r="F50" s="561" t="s">
        <v>57</v>
      </c>
      <c r="G50" s="562" t="s">
        <v>42</v>
      </c>
      <c r="H50" s="563">
        <v>44090.259999999995</v>
      </c>
      <c r="I50" s="564">
        <v>2969</v>
      </c>
      <c r="J50" s="565">
        <v>14.850205456382618</v>
      </c>
      <c r="K50" s="566">
        <v>2480</v>
      </c>
      <c r="L50" s="567">
        <v>0.16470191983832941</v>
      </c>
      <c r="M50" s="564">
        <v>2315</v>
      </c>
      <c r="N50" s="568">
        <v>6.6532258064516125E-2</v>
      </c>
      <c r="O50" s="565">
        <v>19.045468682505398</v>
      </c>
      <c r="P50" s="564">
        <v>109</v>
      </c>
      <c r="Q50" s="569">
        <v>4.3951612903225808E-2</v>
      </c>
      <c r="R50" s="570">
        <v>404.49779816513757</v>
      </c>
      <c r="S50" s="565">
        <v>44090.259999999995</v>
      </c>
      <c r="T50" s="573">
        <v>2969</v>
      </c>
      <c r="U50" s="650">
        <v>14.850205456382618</v>
      </c>
      <c r="V50" s="566">
        <v>2480</v>
      </c>
      <c r="W50" s="567">
        <v>0.16470191983832941</v>
      </c>
      <c r="X50" s="564">
        <v>2315</v>
      </c>
      <c r="Y50" s="568">
        <v>6.6532258064516125E-2</v>
      </c>
      <c r="Z50" s="565">
        <v>19.045468682505398</v>
      </c>
      <c r="AA50" s="591">
        <v>109</v>
      </c>
      <c r="AB50" s="569">
        <v>4.3951612903225808E-2</v>
      </c>
      <c r="AC50" s="571">
        <v>404.49779816513757</v>
      </c>
      <c r="AD50" s="572" t="s">
        <v>123</v>
      </c>
      <c r="AE50" s="573" t="s">
        <v>123</v>
      </c>
      <c r="AF50" s="650" t="s">
        <v>123</v>
      </c>
      <c r="AG50" s="651" t="s">
        <v>123</v>
      </c>
      <c r="AH50" s="567" t="s">
        <v>123</v>
      </c>
      <c r="AI50" s="573" t="s">
        <v>123</v>
      </c>
      <c r="AJ50" s="652" t="s">
        <v>123</v>
      </c>
      <c r="AK50" s="565" t="s">
        <v>123</v>
      </c>
      <c r="AL50" s="574" t="s">
        <v>123</v>
      </c>
      <c r="AM50" s="569" t="s">
        <v>123</v>
      </c>
      <c r="AN50" s="570" t="s">
        <v>123</v>
      </c>
      <c r="AO50" s="635"/>
      <c r="AP50" s="575"/>
      <c r="AQ50" s="636"/>
      <c r="AR50" s="637"/>
      <c r="AS50" s="633">
        <v>2.44</v>
      </c>
      <c r="AT50" s="579"/>
      <c r="AU50" s="580"/>
    </row>
    <row r="51" spans="1:47" ht="21" hidden="1" customHeight="1">
      <c r="A51" t="s">
        <v>416</v>
      </c>
      <c r="B51" t="s">
        <v>372</v>
      </c>
      <c r="C51" s="759"/>
      <c r="D51" s="561" t="s">
        <v>52</v>
      </c>
      <c r="E51" s="561" t="s">
        <v>121</v>
      </c>
      <c r="F51" s="561" t="s">
        <v>44</v>
      </c>
      <c r="G51" s="562" t="s">
        <v>42</v>
      </c>
      <c r="H51" s="563">
        <v>0</v>
      </c>
      <c r="I51" s="564">
        <v>0</v>
      </c>
      <c r="J51" s="565" t="s">
        <v>123</v>
      </c>
      <c r="K51" s="566">
        <v>0</v>
      </c>
      <c r="L51" s="567" t="s">
        <v>123</v>
      </c>
      <c r="M51" s="564">
        <v>0</v>
      </c>
      <c r="N51" s="568" t="s">
        <v>123</v>
      </c>
      <c r="O51" s="565" t="s">
        <v>123</v>
      </c>
      <c r="P51" s="564">
        <v>0</v>
      </c>
      <c r="Q51" s="569" t="s">
        <v>123</v>
      </c>
      <c r="R51" s="570" t="s">
        <v>123</v>
      </c>
      <c r="S51" s="565" t="s">
        <v>123</v>
      </c>
      <c r="T51" s="573" t="s">
        <v>123</v>
      </c>
      <c r="U51" s="650" t="s">
        <v>123</v>
      </c>
      <c r="V51" s="566" t="s">
        <v>123</v>
      </c>
      <c r="W51" s="567" t="s">
        <v>123</v>
      </c>
      <c r="X51" s="564" t="s">
        <v>123</v>
      </c>
      <c r="Y51" s="568" t="s">
        <v>123</v>
      </c>
      <c r="Z51" s="565" t="s">
        <v>123</v>
      </c>
      <c r="AA51" s="591" t="s">
        <v>123</v>
      </c>
      <c r="AB51" s="569" t="s">
        <v>123</v>
      </c>
      <c r="AC51" s="571" t="s">
        <v>123</v>
      </c>
      <c r="AD51" s="572">
        <v>0</v>
      </c>
      <c r="AE51" s="573">
        <v>0</v>
      </c>
      <c r="AF51" s="650" t="s">
        <v>123</v>
      </c>
      <c r="AG51" s="651">
        <v>0</v>
      </c>
      <c r="AH51" s="567" t="s">
        <v>123</v>
      </c>
      <c r="AI51" s="573">
        <v>0</v>
      </c>
      <c r="AJ51" s="652" t="s">
        <v>123</v>
      </c>
      <c r="AK51" s="565" t="s">
        <v>123</v>
      </c>
      <c r="AL51" s="574">
        <v>0</v>
      </c>
      <c r="AM51" s="569" t="s">
        <v>123</v>
      </c>
      <c r="AN51" s="570" t="s">
        <v>123</v>
      </c>
      <c r="AO51" s="635"/>
      <c r="AP51" s="575"/>
      <c r="AQ51" s="636"/>
      <c r="AR51" s="637"/>
      <c r="AS51" s="633">
        <v>2.44</v>
      </c>
      <c r="AT51" s="579"/>
      <c r="AU51" s="580"/>
    </row>
    <row r="52" spans="1:47" ht="21" hidden="1" customHeight="1">
      <c r="A52" t="s">
        <v>417</v>
      </c>
      <c r="B52" t="s">
        <v>374</v>
      </c>
      <c r="C52" s="759"/>
      <c r="D52" s="561" t="s">
        <v>40</v>
      </c>
      <c r="E52" s="561" t="s">
        <v>142</v>
      </c>
      <c r="F52" s="561" t="s">
        <v>44</v>
      </c>
      <c r="G52" s="562" t="s">
        <v>60</v>
      </c>
      <c r="H52" s="563">
        <v>6797.37</v>
      </c>
      <c r="I52" s="564">
        <v>286</v>
      </c>
      <c r="J52" s="565">
        <v>23.767027972027972</v>
      </c>
      <c r="K52" s="566">
        <v>307</v>
      </c>
      <c r="L52" s="567">
        <v>-7.3426573426573424E-2</v>
      </c>
      <c r="M52" s="564">
        <v>299</v>
      </c>
      <c r="N52" s="568">
        <v>2.6058631921824105E-2</v>
      </c>
      <c r="O52" s="565">
        <v>22.733678929765887</v>
      </c>
      <c r="P52" s="564">
        <v>106</v>
      </c>
      <c r="Q52" s="569">
        <v>0.34527687296416937</v>
      </c>
      <c r="R52" s="570">
        <v>64.126132075471702</v>
      </c>
      <c r="S52" s="565" t="s">
        <v>123</v>
      </c>
      <c r="T52" s="573" t="s">
        <v>123</v>
      </c>
      <c r="U52" s="650" t="s">
        <v>123</v>
      </c>
      <c r="V52" s="566" t="s">
        <v>123</v>
      </c>
      <c r="W52" s="567" t="s">
        <v>123</v>
      </c>
      <c r="X52" s="564" t="s">
        <v>123</v>
      </c>
      <c r="Y52" s="568" t="s">
        <v>123</v>
      </c>
      <c r="Z52" s="565" t="s">
        <v>123</v>
      </c>
      <c r="AA52" s="591" t="s">
        <v>123</v>
      </c>
      <c r="AB52" s="569" t="s">
        <v>123</v>
      </c>
      <c r="AC52" s="571" t="s">
        <v>123</v>
      </c>
      <c r="AD52" s="572">
        <v>6797.37</v>
      </c>
      <c r="AE52" s="573">
        <v>286</v>
      </c>
      <c r="AF52" s="650">
        <v>23.767027972027972</v>
      </c>
      <c r="AG52" s="651">
        <v>307</v>
      </c>
      <c r="AH52" s="567">
        <v>-7.3426573426573424E-2</v>
      </c>
      <c r="AI52" s="573">
        <v>299</v>
      </c>
      <c r="AJ52" s="652">
        <v>2.6058631921824105E-2</v>
      </c>
      <c r="AK52" s="565">
        <v>22.733678929765887</v>
      </c>
      <c r="AL52" s="574">
        <v>106</v>
      </c>
      <c r="AM52" s="569">
        <v>0.34527687296416937</v>
      </c>
      <c r="AN52" s="570">
        <v>64.126132075471702</v>
      </c>
      <c r="AO52" s="635"/>
      <c r="AP52" s="575"/>
      <c r="AQ52" s="636"/>
      <c r="AR52" s="637"/>
      <c r="AS52" s="633">
        <v>2.44</v>
      </c>
      <c r="AT52" s="579"/>
      <c r="AU52" s="580"/>
    </row>
    <row r="53" spans="1:47" ht="21" hidden="1" customHeight="1">
      <c r="A53" t="s">
        <v>418</v>
      </c>
      <c r="B53" t="s">
        <v>376</v>
      </c>
      <c r="C53" s="759"/>
      <c r="D53" s="561" t="s">
        <v>52</v>
      </c>
      <c r="E53" s="561" t="s">
        <v>145</v>
      </c>
      <c r="F53" s="561" t="s">
        <v>44</v>
      </c>
      <c r="G53" s="562" t="s">
        <v>60</v>
      </c>
      <c r="H53" s="563">
        <v>35321.31</v>
      </c>
      <c r="I53" s="564">
        <v>741</v>
      </c>
      <c r="J53" s="565">
        <v>47.667085020242915</v>
      </c>
      <c r="K53" s="566">
        <v>676</v>
      </c>
      <c r="L53" s="567">
        <v>8.771929824561403E-2</v>
      </c>
      <c r="M53" s="564">
        <v>649</v>
      </c>
      <c r="N53" s="568">
        <v>3.9940828402366867E-2</v>
      </c>
      <c r="O53" s="565">
        <v>54.424206471494607</v>
      </c>
      <c r="P53" s="564">
        <v>192</v>
      </c>
      <c r="Q53" s="569">
        <v>0.28402366863905326</v>
      </c>
      <c r="R53" s="570">
        <v>183.96515624999998</v>
      </c>
      <c r="S53" s="565" t="s">
        <v>123</v>
      </c>
      <c r="T53" s="573" t="s">
        <v>123</v>
      </c>
      <c r="U53" s="650" t="s">
        <v>123</v>
      </c>
      <c r="V53" s="566" t="s">
        <v>123</v>
      </c>
      <c r="W53" s="567" t="s">
        <v>123</v>
      </c>
      <c r="X53" s="564" t="s">
        <v>123</v>
      </c>
      <c r="Y53" s="568" t="s">
        <v>123</v>
      </c>
      <c r="Z53" s="565" t="s">
        <v>123</v>
      </c>
      <c r="AA53" s="591" t="s">
        <v>123</v>
      </c>
      <c r="AB53" s="569" t="s">
        <v>123</v>
      </c>
      <c r="AC53" s="571" t="s">
        <v>123</v>
      </c>
      <c r="AD53" s="572">
        <v>35321.31</v>
      </c>
      <c r="AE53" s="573">
        <v>741</v>
      </c>
      <c r="AF53" s="650">
        <v>47.667085020242915</v>
      </c>
      <c r="AG53" s="651">
        <v>676</v>
      </c>
      <c r="AH53" s="567">
        <v>8.771929824561403E-2</v>
      </c>
      <c r="AI53" s="573">
        <v>649</v>
      </c>
      <c r="AJ53" s="652">
        <v>3.9940828402366867E-2</v>
      </c>
      <c r="AK53" s="565">
        <v>54.424206471494607</v>
      </c>
      <c r="AL53" s="574">
        <v>192</v>
      </c>
      <c r="AM53" s="569">
        <v>0.28402366863905326</v>
      </c>
      <c r="AN53" s="570">
        <v>183.96515624999998</v>
      </c>
      <c r="AO53" s="635"/>
      <c r="AP53" s="575"/>
      <c r="AQ53" s="636"/>
      <c r="AR53" s="637"/>
      <c r="AS53" s="633">
        <v>2.44</v>
      </c>
      <c r="AT53" s="579"/>
      <c r="AU53" s="580"/>
    </row>
    <row r="54" spans="1:47" ht="21" hidden="1" customHeight="1">
      <c r="A54" t="s">
        <v>419</v>
      </c>
      <c r="B54" t="s">
        <v>378</v>
      </c>
      <c r="C54" s="760"/>
      <c r="D54" s="584" t="s">
        <v>40</v>
      </c>
      <c r="E54" s="584" t="s">
        <v>57</v>
      </c>
      <c r="F54" s="584" t="s">
        <v>57</v>
      </c>
      <c r="G54" s="585" t="s">
        <v>60</v>
      </c>
      <c r="H54" s="563">
        <v>31031.48</v>
      </c>
      <c r="I54" s="581">
        <v>3165</v>
      </c>
      <c r="J54" s="582">
        <v>9.8045750394944715</v>
      </c>
      <c r="K54" s="566">
        <v>1579</v>
      </c>
      <c r="L54" s="567">
        <v>0.50110584518167456</v>
      </c>
      <c r="M54" s="564">
        <v>1428</v>
      </c>
      <c r="N54" s="568">
        <v>9.5630145661811272E-2</v>
      </c>
      <c r="O54" s="586">
        <v>21.730728291316527</v>
      </c>
      <c r="P54" s="564">
        <v>98</v>
      </c>
      <c r="Q54" s="569">
        <v>6.2064597846738442E-2</v>
      </c>
      <c r="R54" s="570">
        <v>316.64775510204083</v>
      </c>
      <c r="S54" s="565">
        <v>31031.48</v>
      </c>
      <c r="T54" s="573">
        <v>3165</v>
      </c>
      <c r="U54" s="650">
        <v>9.8045750394944715</v>
      </c>
      <c r="V54" s="566">
        <v>1579</v>
      </c>
      <c r="W54" s="567">
        <v>0.50110584518167456</v>
      </c>
      <c r="X54" s="564">
        <v>1428</v>
      </c>
      <c r="Y54" s="568">
        <v>9.5630145661811272E-2</v>
      </c>
      <c r="Z54" s="586">
        <v>21.730728291316527</v>
      </c>
      <c r="AA54" s="591">
        <v>98</v>
      </c>
      <c r="AB54" s="569">
        <v>6.2064597846738442E-2</v>
      </c>
      <c r="AC54" s="571">
        <v>316.64775510204083</v>
      </c>
      <c r="AD54" s="572" t="s">
        <v>123</v>
      </c>
      <c r="AE54" s="573" t="s">
        <v>123</v>
      </c>
      <c r="AF54" s="650" t="s">
        <v>123</v>
      </c>
      <c r="AG54" s="651" t="s">
        <v>123</v>
      </c>
      <c r="AH54" s="567" t="s">
        <v>123</v>
      </c>
      <c r="AI54" s="573" t="s">
        <v>123</v>
      </c>
      <c r="AJ54" s="652" t="s">
        <v>123</v>
      </c>
      <c r="AK54" s="586" t="s">
        <v>123</v>
      </c>
      <c r="AL54" s="574" t="s">
        <v>123</v>
      </c>
      <c r="AM54" s="569" t="s">
        <v>123</v>
      </c>
      <c r="AN54" s="570" t="s">
        <v>123</v>
      </c>
      <c r="AO54" s="635"/>
      <c r="AP54" s="587"/>
      <c r="AQ54" s="636"/>
      <c r="AR54" s="641"/>
      <c r="AS54" s="633">
        <v>2.44</v>
      </c>
      <c r="AT54" s="579"/>
      <c r="AU54" s="580"/>
    </row>
    <row r="55" spans="1:47" ht="49.95" customHeight="1">
      <c r="C55" s="758" t="s">
        <v>203</v>
      </c>
      <c r="D55" s="541"/>
      <c r="E55" s="541"/>
      <c r="F55" s="541"/>
      <c r="G55" s="542" t="s">
        <v>139</v>
      </c>
      <c r="H55" s="543">
        <v>148393.39000000001</v>
      </c>
      <c r="I55" s="544">
        <v>6619</v>
      </c>
      <c r="J55" s="545">
        <v>22.419306541773683</v>
      </c>
      <c r="K55" s="546">
        <v>5083</v>
      </c>
      <c r="L55" s="547">
        <v>0.2320592234476507</v>
      </c>
      <c r="M55" s="544">
        <v>4063</v>
      </c>
      <c r="N55" s="548">
        <v>0.20066889632107024</v>
      </c>
      <c r="O55" s="549">
        <v>36.523108540487328</v>
      </c>
      <c r="P55" s="544">
        <v>1035</v>
      </c>
      <c r="Q55" s="548">
        <v>0.20361990950226244</v>
      </c>
      <c r="R55" s="550">
        <v>143.37525603864736</v>
      </c>
      <c r="S55" s="545">
        <v>67915.399999999994</v>
      </c>
      <c r="T55" s="553">
        <v>4201</v>
      </c>
      <c r="U55" s="549">
        <v>16.166484170435609</v>
      </c>
      <c r="V55" s="546">
        <v>2896</v>
      </c>
      <c r="W55" s="547">
        <v>0.31064032373244466</v>
      </c>
      <c r="X55" s="544">
        <v>2149</v>
      </c>
      <c r="Y55" s="548">
        <v>0.25794198895027626</v>
      </c>
      <c r="Z55" s="549">
        <v>31.603257328990225</v>
      </c>
      <c r="AA55" s="629">
        <v>247</v>
      </c>
      <c r="AB55" s="548">
        <v>8.5290055248618782E-2</v>
      </c>
      <c r="AC55" s="551">
        <v>274.96113360323886</v>
      </c>
      <c r="AD55" s="552">
        <v>80477.989999999991</v>
      </c>
      <c r="AE55" s="553">
        <v>2418</v>
      </c>
      <c r="AF55" s="549">
        <v>33.282874276261367</v>
      </c>
      <c r="AG55" s="546">
        <v>2187</v>
      </c>
      <c r="AH55" s="547">
        <v>9.553349875930521E-2</v>
      </c>
      <c r="AI55" s="553">
        <v>1914</v>
      </c>
      <c r="AJ55" s="643">
        <v>0.12482853223593965</v>
      </c>
      <c r="AK55" s="549">
        <v>42.047016718913262</v>
      </c>
      <c r="AL55" s="554">
        <v>788</v>
      </c>
      <c r="AM55" s="548">
        <v>0.36031092821216276</v>
      </c>
      <c r="AN55" s="550">
        <v>102.12942893401014</v>
      </c>
      <c r="AO55" s="630">
        <v>0.89459999999999995</v>
      </c>
      <c r="AP55" s="555">
        <v>0.80169999999999997</v>
      </c>
      <c r="AQ55" s="631">
        <v>0.82750000000000001</v>
      </c>
      <c r="AR55" s="632">
        <v>0.83140000000000003</v>
      </c>
      <c r="AS55" s="633">
        <v>2.29</v>
      </c>
      <c r="AT55" s="583"/>
      <c r="AU55" s="580"/>
    </row>
    <row r="56" spans="1:47" ht="21" hidden="1" customHeight="1">
      <c r="A56" t="s">
        <v>420</v>
      </c>
      <c r="B56" t="s">
        <v>366</v>
      </c>
      <c r="C56" s="759"/>
      <c r="D56" s="561" t="s">
        <v>40</v>
      </c>
      <c r="E56" s="561" t="s">
        <v>142</v>
      </c>
      <c r="F56" s="561" t="s">
        <v>44</v>
      </c>
      <c r="G56" s="562" t="s">
        <v>42</v>
      </c>
      <c r="H56" s="563">
        <v>9191</v>
      </c>
      <c r="I56" s="564">
        <v>372</v>
      </c>
      <c r="J56" s="565">
        <v>24.706989247311828</v>
      </c>
      <c r="K56" s="566">
        <v>369</v>
      </c>
      <c r="L56" s="567">
        <v>8.0645161290322578E-3</v>
      </c>
      <c r="M56" s="564">
        <v>337</v>
      </c>
      <c r="N56" s="568">
        <v>8.6720867208672087E-2</v>
      </c>
      <c r="O56" s="565">
        <v>27.272997032640948</v>
      </c>
      <c r="P56" s="564">
        <v>190</v>
      </c>
      <c r="Q56" s="569">
        <v>0.51490514905149054</v>
      </c>
      <c r="R56" s="570">
        <v>48.373684210526314</v>
      </c>
      <c r="S56" s="565" t="s">
        <v>123</v>
      </c>
      <c r="T56" s="573" t="s">
        <v>123</v>
      </c>
      <c r="U56" s="650" t="s">
        <v>123</v>
      </c>
      <c r="V56" s="566" t="s">
        <v>123</v>
      </c>
      <c r="W56" s="567" t="s">
        <v>123</v>
      </c>
      <c r="X56" s="564" t="s">
        <v>123</v>
      </c>
      <c r="Y56" s="568" t="s">
        <v>123</v>
      </c>
      <c r="Z56" s="565" t="s">
        <v>123</v>
      </c>
      <c r="AA56" s="591" t="s">
        <v>123</v>
      </c>
      <c r="AB56" s="569" t="s">
        <v>123</v>
      </c>
      <c r="AC56" s="571" t="s">
        <v>123</v>
      </c>
      <c r="AD56" s="572">
        <v>9191</v>
      </c>
      <c r="AE56" s="573">
        <v>372</v>
      </c>
      <c r="AF56" s="650">
        <v>24.706989247311828</v>
      </c>
      <c r="AG56" s="651">
        <v>369</v>
      </c>
      <c r="AH56" s="567">
        <v>8.0645161290322578E-3</v>
      </c>
      <c r="AI56" s="573">
        <v>337</v>
      </c>
      <c r="AJ56" s="652">
        <v>8.6720867208672087E-2</v>
      </c>
      <c r="AK56" s="565">
        <v>27.272997032640948</v>
      </c>
      <c r="AL56" s="574">
        <v>190</v>
      </c>
      <c r="AM56" s="569">
        <v>0.51490514905149054</v>
      </c>
      <c r="AN56" s="570">
        <v>48.373684210526314</v>
      </c>
      <c r="AO56" s="635"/>
      <c r="AP56" s="575"/>
      <c r="AQ56" s="636"/>
      <c r="AR56" s="637"/>
      <c r="AS56" s="633">
        <v>2.29</v>
      </c>
      <c r="AT56" s="579"/>
      <c r="AU56" s="580"/>
    </row>
    <row r="57" spans="1:47" ht="21" hidden="1" customHeight="1">
      <c r="A57" t="s">
        <v>421</v>
      </c>
      <c r="B57" t="s">
        <v>368</v>
      </c>
      <c r="C57" s="759"/>
      <c r="D57" s="561" t="s">
        <v>52</v>
      </c>
      <c r="E57" s="561" t="s">
        <v>145</v>
      </c>
      <c r="F57" s="561" t="s">
        <v>44</v>
      </c>
      <c r="G57" s="562" t="s">
        <v>42</v>
      </c>
      <c r="H57" s="563">
        <v>26143.11</v>
      </c>
      <c r="I57" s="564">
        <v>737</v>
      </c>
      <c r="J57" s="565">
        <v>35.472333785617366</v>
      </c>
      <c r="K57" s="566">
        <v>637</v>
      </c>
      <c r="L57" s="567">
        <v>0.13568521031207598</v>
      </c>
      <c r="M57" s="564">
        <v>541</v>
      </c>
      <c r="N57" s="568">
        <v>0.15070643642072212</v>
      </c>
      <c r="O57" s="565">
        <v>48.323678373382627</v>
      </c>
      <c r="P57" s="564">
        <v>157</v>
      </c>
      <c r="Q57" s="569">
        <v>0.24646781789638933</v>
      </c>
      <c r="R57" s="570">
        <v>166.51662420382166</v>
      </c>
      <c r="S57" s="565" t="s">
        <v>123</v>
      </c>
      <c r="T57" s="573" t="s">
        <v>123</v>
      </c>
      <c r="U57" s="650" t="s">
        <v>123</v>
      </c>
      <c r="V57" s="566" t="s">
        <v>123</v>
      </c>
      <c r="W57" s="567" t="s">
        <v>123</v>
      </c>
      <c r="X57" s="564" t="s">
        <v>123</v>
      </c>
      <c r="Y57" s="568" t="s">
        <v>123</v>
      </c>
      <c r="Z57" s="565" t="s">
        <v>123</v>
      </c>
      <c r="AA57" s="591" t="s">
        <v>123</v>
      </c>
      <c r="AB57" s="569" t="s">
        <v>123</v>
      </c>
      <c r="AC57" s="571" t="s">
        <v>123</v>
      </c>
      <c r="AD57" s="572">
        <v>26143.11</v>
      </c>
      <c r="AE57" s="573">
        <v>737</v>
      </c>
      <c r="AF57" s="650">
        <v>35.472333785617366</v>
      </c>
      <c r="AG57" s="651">
        <v>637</v>
      </c>
      <c r="AH57" s="567">
        <v>0.13568521031207598</v>
      </c>
      <c r="AI57" s="573">
        <v>541</v>
      </c>
      <c r="AJ57" s="652">
        <v>0.15070643642072212</v>
      </c>
      <c r="AK57" s="565">
        <v>48.323678373382627</v>
      </c>
      <c r="AL57" s="574">
        <v>157</v>
      </c>
      <c r="AM57" s="569">
        <v>0.24646781789638933</v>
      </c>
      <c r="AN57" s="570">
        <v>166.51662420382166</v>
      </c>
      <c r="AO57" s="635"/>
      <c r="AP57" s="575"/>
      <c r="AQ57" s="636"/>
      <c r="AR57" s="637"/>
      <c r="AS57" s="633">
        <v>2.29</v>
      </c>
      <c r="AT57" s="579"/>
      <c r="AU57" s="580"/>
    </row>
    <row r="58" spans="1:47" ht="21" hidden="1" customHeight="1">
      <c r="A58" t="s">
        <v>422</v>
      </c>
      <c r="B58" t="s">
        <v>370</v>
      </c>
      <c r="C58" s="759"/>
      <c r="D58" s="561" t="s">
        <v>40</v>
      </c>
      <c r="E58" s="561" t="s">
        <v>57</v>
      </c>
      <c r="F58" s="561" t="s">
        <v>57</v>
      </c>
      <c r="G58" s="562" t="s">
        <v>42</v>
      </c>
      <c r="H58" s="563">
        <v>45319.23</v>
      </c>
      <c r="I58" s="564">
        <v>3032</v>
      </c>
      <c r="J58" s="565">
        <v>14.946975593667547</v>
      </c>
      <c r="K58" s="566">
        <v>2319</v>
      </c>
      <c r="L58" s="567">
        <v>0.23515831134564644</v>
      </c>
      <c r="M58" s="564">
        <v>1723</v>
      </c>
      <c r="N58" s="568">
        <v>0.25700733074601123</v>
      </c>
      <c r="O58" s="565">
        <v>26.30251305861869</v>
      </c>
      <c r="P58" s="564">
        <v>141</v>
      </c>
      <c r="Q58" s="569">
        <v>6.0802069857697282E-2</v>
      </c>
      <c r="R58" s="570">
        <v>321.41297872340425</v>
      </c>
      <c r="S58" s="565">
        <v>45319.23</v>
      </c>
      <c r="T58" s="573">
        <v>3032</v>
      </c>
      <c r="U58" s="650">
        <v>14.946975593667547</v>
      </c>
      <c r="V58" s="566">
        <v>2319</v>
      </c>
      <c r="W58" s="567">
        <v>0.23515831134564644</v>
      </c>
      <c r="X58" s="564">
        <v>1723</v>
      </c>
      <c r="Y58" s="568">
        <v>0.25700733074601123</v>
      </c>
      <c r="Z58" s="565">
        <v>26.30251305861869</v>
      </c>
      <c r="AA58" s="591">
        <v>141</v>
      </c>
      <c r="AB58" s="569">
        <v>6.0802069857697282E-2</v>
      </c>
      <c r="AC58" s="571">
        <v>321.41297872340425</v>
      </c>
      <c r="AD58" s="572" t="s">
        <v>123</v>
      </c>
      <c r="AE58" s="573" t="s">
        <v>123</v>
      </c>
      <c r="AF58" s="650" t="s">
        <v>123</v>
      </c>
      <c r="AG58" s="651" t="s">
        <v>123</v>
      </c>
      <c r="AH58" s="567" t="s">
        <v>123</v>
      </c>
      <c r="AI58" s="573" t="s">
        <v>123</v>
      </c>
      <c r="AJ58" s="652" t="s">
        <v>123</v>
      </c>
      <c r="AK58" s="565" t="s">
        <v>123</v>
      </c>
      <c r="AL58" s="574" t="s">
        <v>123</v>
      </c>
      <c r="AM58" s="569" t="s">
        <v>123</v>
      </c>
      <c r="AN58" s="570" t="s">
        <v>123</v>
      </c>
      <c r="AO58" s="635"/>
      <c r="AP58" s="575"/>
      <c r="AQ58" s="636"/>
      <c r="AR58" s="637"/>
      <c r="AS58" s="633">
        <v>2.29</v>
      </c>
      <c r="AT58" s="579"/>
      <c r="AU58" s="580"/>
    </row>
    <row r="59" spans="1:47" ht="21" hidden="1" customHeight="1">
      <c r="A59" t="s">
        <v>423</v>
      </c>
      <c r="B59" t="s">
        <v>372</v>
      </c>
      <c r="C59" s="759"/>
      <c r="D59" s="561" t="s">
        <v>52</v>
      </c>
      <c r="E59" s="561" t="s">
        <v>121</v>
      </c>
      <c r="F59" s="561" t="s">
        <v>44</v>
      </c>
      <c r="G59" s="562" t="s">
        <v>42</v>
      </c>
      <c r="H59" s="563">
        <v>0</v>
      </c>
      <c r="I59" s="564">
        <v>0</v>
      </c>
      <c r="J59" s="565" t="s">
        <v>123</v>
      </c>
      <c r="K59" s="566">
        <v>0</v>
      </c>
      <c r="L59" s="567" t="s">
        <v>123</v>
      </c>
      <c r="M59" s="564">
        <v>0</v>
      </c>
      <c r="N59" s="568" t="s">
        <v>123</v>
      </c>
      <c r="O59" s="565" t="s">
        <v>123</v>
      </c>
      <c r="P59" s="564">
        <v>0</v>
      </c>
      <c r="Q59" s="569" t="s">
        <v>123</v>
      </c>
      <c r="R59" s="570" t="s">
        <v>123</v>
      </c>
      <c r="S59" s="565" t="s">
        <v>123</v>
      </c>
      <c r="T59" s="573" t="s">
        <v>123</v>
      </c>
      <c r="U59" s="650" t="s">
        <v>123</v>
      </c>
      <c r="V59" s="566" t="s">
        <v>123</v>
      </c>
      <c r="W59" s="567" t="s">
        <v>123</v>
      </c>
      <c r="X59" s="564" t="s">
        <v>123</v>
      </c>
      <c r="Y59" s="568" t="s">
        <v>123</v>
      </c>
      <c r="Z59" s="565" t="s">
        <v>123</v>
      </c>
      <c r="AA59" s="591" t="s">
        <v>123</v>
      </c>
      <c r="AB59" s="569" t="s">
        <v>123</v>
      </c>
      <c r="AC59" s="571" t="s">
        <v>123</v>
      </c>
      <c r="AD59" s="572">
        <v>0</v>
      </c>
      <c r="AE59" s="573">
        <v>0</v>
      </c>
      <c r="AF59" s="650" t="s">
        <v>123</v>
      </c>
      <c r="AG59" s="651">
        <v>0</v>
      </c>
      <c r="AH59" s="567" t="s">
        <v>123</v>
      </c>
      <c r="AI59" s="573">
        <v>0</v>
      </c>
      <c r="AJ59" s="652" t="s">
        <v>123</v>
      </c>
      <c r="AK59" s="565" t="s">
        <v>123</v>
      </c>
      <c r="AL59" s="574">
        <v>0</v>
      </c>
      <c r="AM59" s="569" t="s">
        <v>123</v>
      </c>
      <c r="AN59" s="570" t="s">
        <v>123</v>
      </c>
      <c r="AO59" s="635"/>
      <c r="AP59" s="575"/>
      <c r="AQ59" s="636"/>
      <c r="AR59" s="637"/>
      <c r="AS59" s="633">
        <v>2.29</v>
      </c>
      <c r="AT59" s="579"/>
      <c r="AU59" s="580"/>
    </row>
    <row r="60" spans="1:47" ht="21" hidden="1" customHeight="1">
      <c r="A60" t="s">
        <v>424</v>
      </c>
      <c r="B60" t="s">
        <v>374</v>
      </c>
      <c r="C60" s="759"/>
      <c r="D60" s="561" t="s">
        <v>40</v>
      </c>
      <c r="E60" s="561" t="s">
        <v>142</v>
      </c>
      <c r="F60" s="561" t="s">
        <v>44</v>
      </c>
      <c r="G60" s="562" t="s">
        <v>60</v>
      </c>
      <c r="H60" s="563">
        <v>12026.53</v>
      </c>
      <c r="I60" s="564">
        <v>636</v>
      </c>
      <c r="J60" s="565">
        <v>18.909638364779877</v>
      </c>
      <c r="K60" s="566">
        <v>577</v>
      </c>
      <c r="L60" s="567">
        <v>9.276729559748427E-2</v>
      </c>
      <c r="M60" s="564">
        <v>517</v>
      </c>
      <c r="N60" s="568">
        <v>0.10398613518197573</v>
      </c>
      <c r="O60" s="565">
        <v>23.262147001934238</v>
      </c>
      <c r="P60" s="564">
        <v>282</v>
      </c>
      <c r="Q60" s="569">
        <v>0.48873483535528595</v>
      </c>
      <c r="R60" s="570">
        <v>42.647269503546099</v>
      </c>
      <c r="S60" s="565" t="s">
        <v>123</v>
      </c>
      <c r="T60" s="573" t="s">
        <v>123</v>
      </c>
      <c r="U60" s="650" t="s">
        <v>123</v>
      </c>
      <c r="V60" s="566" t="s">
        <v>123</v>
      </c>
      <c r="W60" s="567" t="s">
        <v>123</v>
      </c>
      <c r="X60" s="564" t="s">
        <v>123</v>
      </c>
      <c r="Y60" s="568" t="s">
        <v>123</v>
      </c>
      <c r="Z60" s="565" t="s">
        <v>123</v>
      </c>
      <c r="AA60" s="591" t="s">
        <v>123</v>
      </c>
      <c r="AB60" s="569" t="s">
        <v>123</v>
      </c>
      <c r="AC60" s="571" t="s">
        <v>123</v>
      </c>
      <c r="AD60" s="572">
        <v>12026.53</v>
      </c>
      <c r="AE60" s="573">
        <v>636</v>
      </c>
      <c r="AF60" s="650">
        <v>18.909638364779877</v>
      </c>
      <c r="AG60" s="651">
        <v>577</v>
      </c>
      <c r="AH60" s="567">
        <v>9.276729559748427E-2</v>
      </c>
      <c r="AI60" s="573">
        <v>517</v>
      </c>
      <c r="AJ60" s="652">
        <v>0.10398613518197573</v>
      </c>
      <c r="AK60" s="565">
        <v>23.262147001934238</v>
      </c>
      <c r="AL60" s="574">
        <v>282</v>
      </c>
      <c r="AM60" s="569">
        <v>0.48873483535528595</v>
      </c>
      <c r="AN60" s="570">
        <v>42.647269503546099</v>
      </c>
      <c r="AO60" s="635"/>
      <c r="AP60" s="575"/>
      <c r="AQ60" s="636"/>
      <c r="AR60" s="637"/>
      <c r="AS60" s="633">
        <v>2.29</v>
      </c>
      <c r="AT60" s="579"/>
      <c r="AU60" s="580"/>
    </row>
    <row r="61" spans="1:47" ht="21" hidden="1" customHeight="1">
      <c r="A61" t="s">
        <v>425</v>
      </c>
      <c r="B61" t="s">
        <v>376</v>
      </c>
      <c r="C61" s="759"/>
      <c r="D61" s="561" t="s">
        <v>52</v>
      </c>
      <c r="E61" s="561" t="s">
        <v>145</v>
      </c>
      <c r="F61" s="561" t="s">
        <v>44</v>
      </c>
      <c r="G61" s="562" t="s">
        <v>60</v>
      </c>
      <c r="H61" s="563">
        <v>33117.35</v>
      </c>
      <c r="I61" s="564">
        <v>673</v>
      </c>
      <c r="J61" s="565">
        <v>49.208543833580976</v>
      </c>
      <c r="K61" s="566">
        <v>604</v>
      </c>
      <c r="L61" s="567">
        <v>0.1025260029717682</v>
      </c>
      <c r="M61" s="564">
        <v>519</v>
      </c>
      <c r="N61" s="568">
        <v>0.14072847682119205</v>
      </c>
      <c r="O61" s="565">
        <v>63.809922928709057</v>
      </c>
      <c r="P61" s="564">
        <v>159</v>
      </c>
      <c r="Q61" s="569">
        <v>0.26324503311258279</v>
      </c>
      <c r="R61" s="570">
        <v>208.28522012578617</v>
      </c>
      <c r="S61" s="565" t="s">
        <v>123</v>
      </c>
      <c r="T61" s="573" t="s">
        <v>123</v>
      </c>
      <c r="U61" s="650" t="s">
        <v>123</v>
      </c>
      <c r="V61" s="566" t="s">
        <v>123</v>
      </c>
      <c r="W61" s="567" t="s">
        <v>123</v>
      </c>
      <c r="X61" s="564" t="s">
        <v>123</v>
      </c>
      <c r="Y61" s="568" t="s">
        <v>123</v>
      </c>
      <c r="Z61" s="565" t="s">
        <v>123</v>
      </c>
      <c r="AA61" s="591" t="s">
        <v>123</v>
      </c>
      <c r="AB61" s="569" t="s">
        <v>123</v>
      </c>
      <c r="AC61" s="571" t="s">
        <v>123</v>
      </c>
      <c r="AD61" s="572">
        <v>33117.35</v>
      </c>
      <c r="AE61" s="573">
        <v>673</v>
      </c>
      <c r="AF61" s="650">
        <v>49.208543833580976</v>
      </c>
      <c r="AG61" s="651">
        <v>604</v>
      </c>
      <c r="AH61" s="567">
        <v>0.1025260029717682</v>
      </c>
      <c r="AI61" s="573">
        <v>519</v>
      </c>
      <c r="AJ61" s="652">
        <v>0.14072847682119205</v>
      </c>
      <c r="AK61" s="565">
        <v>63.809922928709057</v>
      </c>
      <c r="AL61" s="574">
        <v>159</v>
      </c>
      <c r="AM61" s="569">
        <v>0.26324503311258279</v>
      </c>
      <c r="AN61" s="570">
        <v>208.28522012578617</v>
      </c>
      <c r="AO61" s="635"/>
      <c r="AP61" s="575"/>
      <c r="AQ61" s="636"/>
      <c r="AR61" s="637"/>
      <c r="AS61" s="633">
        <v>2.29</v>
      </c>
      <c r="AT61" s="579"/>
      <c r="AU61" s="580"/>
    </row>
    <row r="62" spans="1:47" ht="21" hidden="1" customHeight="1">
      <c r="A62" t="s">
        <v>426</v>
      </c>
      <c r="B62" t="s">
        <v>378</v>
      </c>
      <c r="C62" s="760"/>
      <c r="D62" s="584" t="s">
        <v>40</v>
      </c>
      <c r="E62" s="584" t="s">
        <v>57</v>
      </c>
      <c r="F62" s="584" t="s">
        <v>57</v>
      </c>
      <c r="G62" s="585" t="s">
        <v>60</v>
      </c>
      <c r="H62" s="563">
        <v>22596.17</v>
      </c>
      <c r="I62" s="581">
        <v>1169</v>
      </c>
      <c r="J62" s="582">
        <v>19.329486740804104</v>
      </c>
      <c r="K62" s="566">
        <v>577</v>
      </c>
      <c r="L62" s="567">
        <v>0.50641573994867406</v>
      </c>
      <c r="M62" s="564">
        <v>426</v>
      </c>
      <c r="N62" s="568">
        <v>0.26169844020797228</v>
      </c>
      <c r="O62" s="586">
        <v>53.042652582159619</v>
      </c>
      <c r="P62" s="564">
        <v>106</v>
      </c>
      <c r="Q62" s="569">
        <v>0.18370883882149047</v>
      </c>
      <c r="R62" s="570">
        <v>213.17141509433961</v>
      </c>
      <c r="S62" s="565">
        <v>22596.17</v>
      </c>
      <c r="T62" s="573">
        <v>1169</v>
      </c>
      <c r="U62" s="650">
        <v>19.329486740804104</v>
      </c>
      <c r="V62" s="566">
        <v>577</v>
      </c>
      <c r="W62" s="567">
        <v>0.50641573994867406</v>
      </c>
      <c r="X62" s="564">
        <v>426</v>
      </c>
      <c r="Y62" s="568">
        <v>0.26169844020797228</v>
      </c>
      <c r="Z62" s="586">
        <v>53.042652582159619</v>
      </c>
      <c r="AA62" s="591">
        <v>106</v>
      </c>
      <c r="AB62" s="569">
        <v>0.18370883882149047</v>
      </c>
      <c r="AC62" s="571">
        <v>213.17141509433961</v>
      </c>
      <c r="AD62" s="572" t="s">
        <v>123</v>
      </c>
      <c r="AE62" s="573" t="s">
        <v>123</v>
      </c>
      <c r="AF62" s="650" t="s">
        <v>123</v>
      </c>
      <c r="AG62" s="651" t="s">
        <v>123</v>
      </c>
      <c r="AH62" s="567" t="s">
        <v>123</v>
      </c>
      <c r="AI62" s="573" t="s">
        <v>123</v>
      </c>
      <c r="AJ62" s="652" t="s">
        <v>123</v>
      </c>
      <c r="AK62" s="586" t="s">
        <v>123</v>
      </c>
      <c r="AL62" s="574" t="s">
        <v>123</v>
      </c>
      <c r="AM62" s="569" t="s">
        <v>123</v>
      </c>
      <c r="AN62" s="570" t="s">
        <v>123</v>
      </c>
      <c r="AO62" s="635"/>
      <c r="AP62" s="587"/>
      <c r="AQ62" s="636"/>
      <c r="AR62" s="641"/>
      <c r="AS62" s="633">
        <v>2.29</v>
      </c>
      <c r="AT62" s="579"/>
      <c r="AU62" s="580"/>
    </row>
    <row r="63" spans="1:47" ht="49.95" customHeight="1">
      <c r="C63" s="758" t="s">
        <v>211</v>
      </c>
      <c r="D63" s="541"/>
      <c r="E63" s="541"/>
      <c r="F63" s="541"/>
      <c r="G63" s="542" t="s">
        <v>139</v>
      </c>
      <c r="H63" s="543">
        <v>105454.22999999998</v>
      </c>
      <c r="I63" s="544">
        <v>3729</v>
      </c>
      <c r="J63" s="545">
        <v>28.279493161705545</v>
      </c>
      <c r="K63" s="546">
        <v>2963</v>
      </c>
      <c r="L63" s="547">
        <v>0.20541700187717887</v>
      </c>
      <c r="M63" s="544">
        <v>2072</v>
      </c>
      <c r="N63" s="548">
        <v>0.30070874114073576</v>
      </c>
      <c r="O63" s="549">
        <v>50.894898648648642</v>
      </c>
      <c r="P63" s="544">
        <v>864</v>
      </c>
      <c r="Q63" s="548">
        <v>0.29159635504556192</v>
      </c>
      <c r="R63" s="550">
        <v>122.05350694444442</v>
      </c>
      <c r="S63" s="545">
        <v>22139.129999999997</v>
      </c>
      <c r="T63" s="553">
        <v>1433</v>
      </c>
      <c r="U63" s="549">
        <v>15.449497557571526</v>
      </c>
      <c r="V63" s="546">
        <v>865</v>
      </c>
      <c r="W63" s="547">
        <v>0.39637124912770411</v>
      </c>
      <c r="X63" s="544">
        <v>425</v>
      </c>
      <c r="Y63" s="548">
        <v>0.50867052023121384</v>
      </c>
      <c r="Z63" s="549">
        <v>52.092070588235288</v>
      </c>
      <c r="AA63" s="629">
        <v>115</v>
      </c>
      <c r="AB63" s="548">
        <v>0.13294797687861271</v>
      </c>
      <c r="AC63" s="551">
        <v>192.51417391304346</v>
      </c>
      <c r="AD63" s="552">
        <v>83315.100000000006</v>
      </c>
      <c r="AE63" s="553">
        <v>2296</v>
      </c>
      <c r="AF63" s="549">
        <v>36.287064459930313</v>
      </c>
      <c r="AG63" s="546">
        <v>2098</v>
      </c>
      <c r="AH63" s="547">
        <v>8.6236933797909407E-2</v>
      </c>
      <c r="AI63" s="553">
        <v>1647</v>
      </c>
      <c r="AJ63" s="643">
        <v>0.21496663489037179</v>
      </c>
      <c r="AK63" s="549">
        <v>50.585974499089254</v>
      </c>
      <c r="AL63" s="554">
        <v>749</v>
      </c>
      <c r="AM63" s="548">
        <v>0.35700667302192562</v>
      </c>
      <c r="AN63" s="550">
        <v>111.23511348464621</v>
      </c>
      <c r="AO63" s="630">
        <v>0.88539999999999996</v>
      </c>
      <c r="AP63" s="555">
        <v>0.63819999999999999</v>
      </c>
      <c r="AQ63" s="631">
        <v>0.70069999999999999</v>
      </c>
      <c r="AR63" s="632">
        <v>0.70040000000000002</v>
      </c>
      <c r="AS63" s="633">
        <v>2.2200000000000002</v>
      </c>
      <c r="AT63" s="589" t="s">
        <v>212</v>
      </c>
      <c r="AU63" s="589" t="s">
        <v>427</v>
      </c>
    </row>
    <row r="64" spans="1:47" ht="21" hidden="1" customHeight="1">
      <c r="A64" t="s">
        <v>428</v>
      </c>
      <c r="B64" t="s">
        <v>366</v>
      </c>
      <c r="C64" s="759"/>
      <c r="D64" s="561" t="s">
        <v>40</v>
      </c>
      <c r="E64" s="561" t="s">
        <v>142</v>
      </c>
      <c r="F64" s="561" t="s">
        <v>44</v>
      </c>
      <c r="G64" s="562" t="s">
        <v>42</v>
      </c>
      <c r="H64" s="563">
        <v>8838.34</v>
      </c>
      <c r="I64" s="564">
        <v>304</v>
      </c>
      <c r="J64" s="565">
        <v>29.073486842105265</v>
      </c>
      <c r="K64" s="566">
        <v>296</v>
      </c>
      <c r="L64" s="567">
        <v>2.6315789473684209E-2</v>
      </c>
      <c r="M64" s="564">
        <v>238</v>
      </c>
      <c r="N64" s="568">
        <v>0.19594594594594594</v>
      </c>
      <c r="O64" s="565">
        <v>37.135882352941174</v>
      </c>
      <c r="P64" s="564">
        <v>128</v>
      </c>
      <c r="Q64" s="569">
        <v>0.43243243243243246</v>
      </c>
      <c r="R64" s="570">
        <v>69.049531250000001</v>
      </c>
      <c r="S64" s="565" t="s">
        <v>123</v>
      </c>
      <c r="T64" s="564" t="s">
        <v>123</v>
      </c>
      <c r="U64" s="565" t="s">
        <v>123</v>
      </c>
      <c r="V64" s="566" t="s">
        <v>123</v>
      </c>
      <c r="W64" s="567" t="s">
        <v>123</v>
      </c>
      <c r="X64" s="564" t="s">
        <v>123</v>
      </c>
      <c r="Y64" s="568" t="s">
        <v>123</v>
      </c>
      <c r="Z64" s="565" t="s">
        <v>123</v>
      </c>
      <c r="AA64" s="591" t="s">
        <v>123</v>
      </c>
      <c r="AB64" s="569" t="s">
        <v>123</v>
      </c>
      <c r="AC64" s="571" t="s">
        <v>123</v>
      </c>
      <c r="AD64" s="572">
        <v>8838.34</v>
      </c>
      <c r="AE64" s="573">
        <v>304</v>
      </c>
      <c r="AF64" s="650">
        <v>29.073486842105265</v>
      </c>
      <c r="AG64" s="566">
        <v>296</v>
      </c>
      <c r="AH64" s="567">
        <v>2.6315789473684209E-2</v>
      </c>
      <c r="AI64" s="564">
        <v>238</v>
      </c>
      <c r="AJ64" s="568">
        <v>0.19594594594594594</v>
      </c>
      <c r="AK64" s="565">
        <v>37.135882352941174</v>
      </c>
      <c r="AL64" s="574">
        <v>128</v>
      </c>
      <c r="AM64" s="569">
        <v>0.43243243243243246</v>
      </c>
      <c r="AN64" s="570">
        <v>69.049531250000001</v>
      </c>
      <c r="AO64" s="635"/>
      <c r="AP64" s="575"/>
      <c r="AQ64" s="636"/>
      <c r="AR64" s="637"/>
      <c r="AS64" s="638"/>
      <c r="AT64" s="579"/>
      <c r="AU64" s="580"/>
    </row>
    <row r="65" spans="1:47" ht="21" hidden="1" customHeight="1">
      <c r="A65" t="s">
        <v>429</v>
      </c>
      <c r="B65" t="s">
        <v>368</v>
      </c>
      <c r="C65" s="759"/>
      <c r="D65" s="561" t="s">
        <v>52</v>
      </c>
      <c r="E65" s="561" t="s">
        <v>145</v>
      </c>
      <c r="F65" s="561" t="s">
        <v>44</v>
      </c>
      <c r="G65" s="562" t="s">
        <v>42</v>
      </c>
      <c r="H65" s="563">
        <v>29361.07</v>
      </c>
      <c r="I65" s="564">
        <v>783</v>
      </c>
      <c r="J65" s="565">
        <v>37.498173690932312</v>
      </c>
      <c r="K65" s="566">
        <v>675</v>
      </c>
      <c r="L65" s="567">
        <v>0.13793103448275862</v>
      </c>
      <c r="M65" s="564">
        <v>536</v>
      </c>
      <c r="N65" s="568">
        <v>0.20592592592592593</v>
      </c>
      <c r="O65" s="565">
        <v>54.778115671641793</v>
      </c>
      <c r="P65" s="564">
        <v>188</v>
      </c>
      <c r="Q65" s="569">
        <v>0.2785185185185185</v>
      </c>
      <c r="R65" s="570">
        <v>156.17590425531915</v>
      </c>
      <c r="S65" s="565" t="s">
        <v>123</v>
      </c>
      <c r="T65" s="564" t="s">
        <v>123</v>
      </c>
      <c r="U65" s="565" t="s">
        <v>123</v>
      </c>
      <c r="V65" s="566" t="s">
        <v>123</v>
      </c>
      <c r="W65" s="567" t="s">
        <v>123</v>
      </c>
      <c r="X65" s="564" t="s">
        <v>123</v>
      </c>
      <c r="Y65" s="568" t="s">
        <v>123</v>
      </c>
      <c r="Z65" s="565" t="s">
        <v>123</v>
      </c>
      <c r="AA65" s="591" t="s">
        <v>123</v>
      </c>
      <c r="AB65" s="569" t="s">
        <v>123</v>
      </c>
      <c r="AC65" s="571" t="s">
        <v>123</v>
      </c>
      <c r="AD65" s="572">
        <v>29361.07</v>
      </c>
      <c r="AE65" s="573">
        <v>783</v>
      </c>
      <c r="AF65" s="650">
        <v>37.498173690932312</v>
      </c>
      <c r="AG65" s="566">
        <v>675</v>
      </c>
      <c r="AH65" s="567">
        <v>0.13793103448275862</v>
      </c>
      <c r="AI65" s="564">
        <v>536</v>
      </c>
      <c r="AJ65" s="568">
        <v>0.20592592592592593</v>
      </c>
      <c r="AK65" s="565">
        <v>54.778115671641793</v>
      </c>
      <c r="AL65" s="574">
        <v>188</v>
      </c>
      <c r="AM65" s="569">
        <v>0.2785185185185185</v>
      </c>
      <c r="AN65" s="570">
        <v>156.17590425531915</v>
      </c>
      <c r="AO65" s="635"/>
      <c r="AP65" s="575"/>
      <c r="AQ65" s="636"/>
      <c r="AR65" s="637"/>
      <c r="AS65" s="638"/>
      <c r="AT65" s="579"/>
      <c r="AU65" s="580"/>
    </row>
    <row r="66" spans="1:47" ht="21" hidden="1" customHeight="1">
      <c r="A66" t="s">
        <v>430</v>
      </c>
      <c r="B66" t="s">
        <v>370</v>
      </c>
      <c r="C66" s="759"/>
      <c r="D66" s="561" t="s">
        <v>40</v>
      </c>
      <c r="E66" s="561" t="s">
        <v>57</v>
      </c>
      <c r="F66" s="561" t="s">
        <v>57</v>
      </c>
      <c r="G66" s="562" t="s">
        <v>42</v>
      </c>
      <c r="H66" s="563">
        <v>7921.42</v>
      </c>
      <c r="I66" s="564">
        <v>514</v>
      </c>
      <c r="J66" s="565">
        <v>15.411322957198443</v>
      </c>
      <c r="K66" s="566">
        <v>472</v>
      </c>
      <c r="L66" s="567">
        <v>8.171206225680934E-2</v>
      </c>
      <c r="M66" s="564">
        <v>261</v>
      </c>
      <c r="N66" s="568">
        <v>0.44703389830508472</v>
      </c>
      <c r="O66" s="565">
        <v>30.350268199233717</v>
      </c>
      <c r="P66" s="564">
        <v>51</v>
      </c>
      <c r="Q66" s="569">
        <v>0.10805084745762712</v>
      </c>
      <c r="R66" s="570">
        <v>155.32196078431372</v>
      </c>
      <c r="S66" s="565">
        <v>7921.42</v>
      </c>
      <c r="T66" s="564">
        <v>514</v>
      </c>
      <c r="U66" s="565">
        <v>15.411322957198443</v>
      </c>
      <c r="V66" s="566">
        <v>472</v>
      </c>
      <c r="W66" s="567">
        <v>8.171206225680934E-2</v>
      </c>
      <c r="X66" s="564">
        <v>261</v>
      </c>
      <c r="Y66" s="568">
        <v>0.44703389830508472</v>
      </c>
      <c r="Z66" s="565">
        <v>30.350268199233717</v>
      </c>
      <c r="AA66" s="591">
        <v>51</v>
      </c>
      <c r="AB66" s="569">
        <v>0.10805084745762712</v>
      </c>
      <c r="AC66" s="571">
        <v>155.32196078431372</v>
      </c>
      <c r="AD66" s="572" t="s">
        <v>123</v>
      </c>
      <c r="AE66" s="573" t="s">
        <v>123</v>
      </c>
      <c r="AF66" s="650" t="s">
        <v>123</v>
      </c>
      <c r="AG66" s="566" t="s">
        <v>123</v>
      </c>
      <c r="AH66" s="567" t="s">
        <v>123</v>
      </c>
      <c r="AI66" s="564" t="s">
        <v>123</v>
      </c>
      <c r="AJ66" s="568" t="s">
        <v>123</v>
      </c>
      <c r="AK66" s="565" t="s">
        <v>123</v>
      </c>
      <c r="AL66" s="574" t="s">
        <v>123</v>
      </c>
      <c r="AM66" s="569" t="s">
        <v>123</v>
      </c>
      <c r="AN66" s="570" t="s">
        <v>123</v>
      </c>
      <c r="AO66" s="635"/>
      <c r="AP66" s="575"/>
      <c r="AQ66" s="636"/>
      <c r="AR66" s="637"/>
      <c r="AS66" s="638"/>
      <c r="AT66" s="579"/>
      <c r="AU66" s="580"/>
    </row>
    <row r="67" spans="1:47" ht="21" hidden="1" customHeight="1">
      <c r="A67" t="s">
        <v>431</v>
      </c>
      <c r="B67" t="s">
        <v>372</v>
      </c>
      <c r="C67" s="759"/>
      <c r="D67" s="561" t="s">
        <v>52</v>
      </c>
      <c r="E67" s="561" t="s">
        <v>121</v>
      </c>
      <c r="F67" s="561" t="s">
        <v>44</v>
      </c>
      <c r="G67" s="562" t="s">
        <v>42</v>
      </c>
      <c r="H67" s="563">
        <v>0</v>
      </c>
      <c r="I67" s="564">
        <v>0</v>
      </c>
      <c r="J67" s="565" t="s">
        <v>123</v>
      </c>
      <c r="K67" s="566">
        <v>0</v>
      </c>
      <c r="L67" s="567" t="s">
        <v>123</v>
      </c>
      <c r="M67" s="564">
        <v>0</v>
      </c>
      <c r="N67" s="568" t="s">
        <v>123</v>
      </c>
      <c r="O67" s="565" t="s">
        <v>123</v>
      </c>
      <c r="P67" s="564">
        <v>0</v>
      </c>
      <c r="Q67" s="569" t="s">
        <v>123</v>
      </c>
      <c r="R67" s="570" t="s">
        <v>123</v>
      </c>
      <c r="S67" s="565" t="s">
        <v>123</v>
      </c>
      <c r="T67" s="564" t="s">
        <v>123</v>
      </c>
      <c r="U67" s="565" t="s">
        <v>123</v>
      </c>
      <c r="V67" s="566" t="s">
        <v>123</v>
      </c>
      <c r="W67" s="567" t="s">
        <v>123</v>
      </c>
      <c r="X67" s="564" t="s">
        <v>123</v>
      </c>
      <c r="Y67" s="568" t="s">
        <v>123</v>
      </c>
      <c r="Z67" s="565" t="s">
        <v>123</v>
      </c>
      <c r="AA67" s="591" t="s">
        <v>123</v>
      </c>
      <c r="AB67" s="569" t="s">
        <v>123</v>
      </c>
      <c r="AC67" s="571" t="s">
        <v>123</v>
      </c>
      <c r="AD67" s="572">
        <v>0</v>
      </c>
      <c r="AE67" s="573">
        <v>0</v>
      </c>
      <c r="AF67" s="650" t="s">
        <v>123</v>
      </c>
      <c r="AG67" s="566">
        <v>0</v>
      </c>
      <c r="AH67" s="567" t="s">
        <v>123</v>
      </c>
      <c r="AI67" s="564">
        <v>0</v>
      </c>
      <c r="AJ67" s="568" t="s">
        <v>123</v>
      </c>
      <c r="AK67" s="565" t="s">
        <v>123</v>
      </c>
      <c r="AL67" s="574">
        <v>0</v>
      </c>
      <c r="AM67" s="569" t="s">
        <v>123</v>
      </c>
      <c r="AN67" s="570" t="s">
        <v>123</v>
      </c>
      <c r="AO67" s="635"/>
      <c r="AP67" s="575"/>
      <c r="AQ67" s="636"/>
      <c r="AR67" s="637"/>
      <c r="AS67" s="638"/>
      <c r="AT67" s="579"/>
      <c r="AU67" s="580"/>
    </row>
    <row r="68" spans="1:47" ht="21" hidden="1" customHeight="1">
      <c r="A68" t="s">
        <v>432</v>
      </c>
      <c r="B68" t="s">
        <v>374</v>
      </c>
      <c r="C68" s="759"/>
      <c r="D68" s="561" t="s">
        <v>40</v>
      </c>
      <c r="E68" s="561" t="s">
        <v>142</v>
      </c>
      <c r="F68" s="561" t="s">
        <v>44</v>
      </c>
      <c r="G68" s="562" t="s">
        <v>60</v>
      </c>
      <c r="H68" s="563">
        <v>11567.13</v>
      </c>
      <c r="I68" s="564">
        <v>531</v>
      </c>
      <c r="J68" s="565">
        <v>21.78367231638418</v>
      </c>
      <c r="K68" s="566">
        <v>497</v>
      </c>
      <c r="L68" s="567">
        <v>6.4030131826741998E-2</v>
      </c>
      <c r="M68" s="564">
        <v>419</v>
      </c>
      <c r="N68" s="568">
        <v>0.15694164989939638</v>
      </c>
      <c r="O68" s="565">
        <v>27.606515513126489</v>
      </c>
      <c r="P68" s="564">
        <v>235</v>
      </c>
      <c r="Q68" s="569">
        <v>0.47283702213279677</v>
      </c>
      <c r="R68" s="570">
        <v>49.221829787234036</v>
      </c>
      <c r="S68" s="565" t="s">
        <v>123</v>
      </c>
      <c r="T68" s="564" t="s">
        <v>123</v>
      </c>
      <c r="U68" s="565" t="s">
        <v>123</v>
      </c>
      <c r="V68" s="566" t="s">
        <v>123</v>
      </c>
      <c r="W68" s="567" t="s">
        <v>123</v>
      </c>
      <c r="X68" s="564" t="s">
        <v>123</v>
      </c>
      <c r="Y68" s="568" t="s">
        <v>123</v>
      </c>
      <c r="Z68" s="565" t="s">
        <v>123</v>
      </c>
      <c r="AA68" s="591" t="s">
        <v>123</v>
      </c>
      <c r="AB68" s="569" t="s">
        <v>123</v>
      </c>
      <c r="AC68" s="571" t="s">
        <v>123</v>
      </c>
      <c r="AD68" s="572">
        <v>11567.13</v>
      </c>
      <c r="AE68" s="573">
        <v>531</v>
      </c>
      <c r="AF68" s="650">
        <v>21.78367231638418</v>
      </c>
      <c r="AG68" s="566">
        <v>497</v>
      </c>
      <c r="AH68" s="567">
        <v>6.4030131826741998E-2</v>
      </c>
      <c r="AI68" s="564">
        <v>419</v>
      </c>
      <c r="AJ68" s="568">
        <v>0.15694164989939638</v>
      </c>
      <c r="AK68" s="565">
        <v>27.606515513126489</v>
      </c>
      <c r="AL68" s="574">
        <v>235</v>
      </c>
      <c r="AM68" s="569">
        <v>0.47283702213279677</v>
      </c>
      <c r="AN68" s="570">
        <v>49.221829787234036</v>
      </c>
      <c r="AO68" s="635"/>
      <c r="AP68" s="575"/>
      <c r="AQ68" s="636"/>
      <c r="AR68" s="637"/>
      <c r="AS68" s="638"/>
      <c r="AT68" s="579"/>
      <c r="AU68" s="580"/>
    </row>
    <row r="69" spans="1:47" ht="21" hidden="1" customHeight="1">
      <c r="A69" t="s">
        <v>433</v>
      </c>
      <c r="B69" t="s">
        <v>376</v>
      </c>
      <c r="C69" s="759"/>
      <c r="D69" s="561" t="s">
        <v>52</v>
      </c>
      <c r="E69" s="561" t="s">
        <v>145</v>
      </c>
      <c r="F69" s="561" t="s">
        <v>44</v>
      </c>
      <c r="G69" s="562" t="s">
        <v>60</v>
      </c>
      <c r="H69" s="563">
        <v>33548.559999999998</v>
      </c>
      <c r="I69" s="564">
        <v>678</v>
      </c>
      <c r="J69" s="565">
        <v>49.481651917404129</v>
      </c>
      <c r="K69" s="566">
        <v>630</v>
      </c>
      <c r="L69" s="567">
        <v>7.0796460176991149E-2</v>
      </c>
      <c r="M69" s="564">
        <v>454</v>
      </c>
      <c r="N69" s="568">
        <v>0.27936507936507937</v>
      </c>
      <c r="O69" s="565">
        <v>73.895506607929505</v>
      </c>
      <c r="P69" s="564">
        <v>198</v>
      </c>
      <c r="Q69" s="569">
        <v>0.31428571428571428</v>
      </c>
      <c r="R69" s="570">
        <v>169.43717171717171</v>
      </c>
      <c r="S69" s="565" t="s">
        <v>123</v>
      </c>
      <c r="T69" s="564" t="s">
        <v>123</v>
      </c>
      <c r="U69" s="565" t="s">
        <v>123</v>
      </c>
      <c r="V69" s="566" t="s">
        <v>123</v>
      </c>
      <c r="W69" s="567" t="s">
        <v>123</v>
      </c>
      <c r="X69" s="564" t="s">
        <v>123</v>
      </c>
      <c r="Y69" s="568" t="s">
        <v>123</v>
      </c>
      <c r="Z69" s="565" t="s">
        <v>123</v>
      </c>
      <c r="AA69" s="591" t="s">
        <v>123</v>
      </c>
      <c r="AB69" s="569" t="s">
        <v>123</v>
      </c>
      <c r="AC69" s="571" t="s">
        <v>123</v>
      </c>
      <c r="AD69" s="572">
        <v>33548.559999999998</v>
      </c>
      <c r="AE69" s="573">
        <v>678</v>
      </c>
      <c r="AF69" s="650">
        <v>49.481651917404129</v>
      </c>
      <c r="AG69" s="566">
        <v>630</v>
      </c>
      <c r="AH69" s="567">
        <v>7.0796460176991149E-2</v>
      </c>
      <c r="AI69" s="564">
        <v>454</v>
      </c>
      <c r="AJ69" s="568">
        <v>0.27936507936507937</v>
      </c>
      <c r="AK69" s="565">
        <v>73.895506607929505</v>
      </c>
      <c r="AL69" s="574">
        <v>198</v>
      </c>
      <c r="AM69" s="569">
        <v>0.31428571428571428</v>
      </c>
      <c r="AN69" s="570">
        <v>169.43717171717171</v>
      </c>
      <c r="AO69" s="635"/>
      <c r="AP69" s="575"/>
      <c r="AQ69" s="636"/>
      <c r="AR69" s="637"/>
      <c r="AS69" s="638"/>
      <c r="AT69" s="579"/>
      <c r="AU69" s="580"/>
    </row>
    <row r="70" spans="1:47" ht="21" hidden="1" customHeight="1">
      <c r="A70" t="s">
        <v>434</v>
      </c>
      <c r="B70" t="s">
        <v>378</v>
      </c>
      <c r="C70" s="760"/>
      <c r="D70" s="584" t="s">
        <v>40</v>
      </c>
      <c r="E70" s="584" t="s">
        <v>57</v>
      </c>
      <c r="F70" s="584" t="s">
        <v>57</v>
      </c>
      <c r="G70" s="585" t="s">
        <v>60</v>
      </c>
      <c r="H70" s="563">
        <v>14217.71</v>
      </c>
      <c r="I70" s="581">
        <v>919</v>
      </c>
      <c r="J70" s="582">
        <v>15.470848748639824</v>
      </c>
      <c r="K70" s="566">
        <v>393</v>
      </c>
      <c r="L70" s="567">
        <v>0.57236126224156691</v>
      </c>
      <c r="M70" s="564">
        <v>164</v>
      </c>
      <c r="N70" s="568">
        <v>0.58269720101781175</v>
      </c>
      <c r="O70" s="586">
        <v>86.69335365853658</v>
      </c>
      <c r="P70" s="564">
        <v>64</v>
      </c>
      <c r="Q70" s="569">
        <v>0.16284987277353691</v>
      </c>
      <c r="R70" s="570">
        <v>222.15171874999999</v>
      </c>
      <c r="S70" s="565">
        <v>14217.71</v>
      </c>
      <c r="T70" s="564">
        <v>919</v>
      </c>
      <c r="U70" s="565">
        <v>15.470848748639824</v>
      </c>
      <c r="V70" s="566">
        <v>393</v>
      </c>
      <c r="W70" s="567">
        <v>0.57236126224156691</v>
      </c>
      <c r="X70" s="564">
        <v>164</v>
      </c>
      <c r="Y70" s="568">
        <v>0.58269720101781175</v>
      </c>
      <c r="Z70" s="586">
        <v>86.69335365853658</v>
      </c>
      <c r="AA70" s="591">
        <v>64</v>
      </c>
      <c r="AB70" s="569">
        <v>0.16284987277353691</v>
      </c>
      <c r="AC70" s="571">
        <v>222.15171874999999</v>
      </c>
      <c r="AD70" s="572" t="s">
        <v>123</v>
      </c>
      <c r="AE70" s="573" t="s">
        <v>123</v>
      </c>
      <c r="AF70" s="650" t="s">
        <v>123</v>
      </c>
      <c r="AG70" s="566" t="s">
        <v>123</v>
      </c>
      <c r="AH70" s="567" t="s">
        <v>123</v>
      </c>
      <c r="AI70" s="564" t="s">
        <v>123</v>
      </c>
      <c r="AJ70" s="568" t="s">
        <v>123</v>
      </c>
      <c r="AK70" s="586" t="s">
        <v>123</v>
      </c>
      <c r="AL70" s="574" t="s">
        <v>123</v>
      </c>
      <c r="AM70" s="569" t="s">
        <v>123</v>
      </c>
      <c r="AN70" s="570" t="s">
        <v>123</v>
      </c>
      <c r="AO70" s="635"/>
      <c r="AP70" s="587"/>
      <c r="AQ70" s="636"/>
      <c r="AR70" s="641"/>
      <c r="AS70" s="638"/>
      <c r="AT70" s="579"/>
      <c r="AU70" s="580"/>
    </row>
    <row r="71" spans="1:47" ht="49.95" customHeight="1">
      <c r="C71" s="758" t="s">
        <v>221</v>
      </c>
      <c r="D71" s="541"/>
      <c r="E71" s="541"/>
      <c r="F71" s="541"/>
      <c r="G71" s="542" t="s">
        <v>139</v>
      </c>
      <c r="H71" s="543">
        <v>75923.62000000001</v>
      </c>
      <c r="I71" s="544">
        <v>2880</v>
      </c>
      <c r="J71" s="545">
        <v>26.36236805555556</v>
      </c>
      <c r="K71" s="546">
        <v>2389</v>
      </c>
      <c r="L71" s="547">
        <v>0.17048611111111112</v>
      </c>
      <c r="M71" s="544">
        <v>1735</v>
      </c>
      <c r="N71" s="548">
        <v>0.27375470908329846</v>
      </c>
      <c r="O71" s="549">
        <v>43.760011527377529</v>
      </c>
      <c r="P71" s="544">
        <v>840</v>
      </c>
      <c r="Q71" s="548">
        <v>0.35161155295102553</v>
      </c>
      <c r="R71" s="550">
        <v>90.385261904761919</v>
      </c>
      <c r="S71" s="545">
        <v>13669.18</v>
      </c>
      <c r="T71" s="544">
        <v>791</v>
      </c>
      <c r="U71" s="545">
        <v>17.280884955752214</v>
      </c>
      <c r="V71" s="546">
        <v>435</v>
      </c>
      <c r="W71" s="547">
        <v>0.45006321112515801</v>
      </c>
      <c r="X71" s="544">
        <v>197</v>
      </c>
      <c r="Y71" s="548">
        <v>0.54712643678160922</v>
      </c>
      <c r="Z71" s="549">
        <v>69.386700507614208</v>
      </c>
      <c r="AA71" s="629">
        <v>72</v>
      </c>
      <c r="AB71" s="548">
        <v>0.16551724137931034</v>
      </c>
      <c r="AC71" s="551">
        <v>189.84972222222223</v>
      </c>
      <c r="AD71" s="552">
        <v>62254.44</v>
      </c>
      <c r="AE71" s="553">
        <v>2089</v>
      </c>
      <c r="AF71" s="549">
        <v>29.801072283389182</v>
      </c>
      <c r="AG71" s="546">
        <v>1954</v>
      </c>
      <c r="AH71" s="547">
        <v>6.4624222115844898E-2</v>
      </c>
      <c r="AI71" s="553">
        <v>1538</v>
      </c>
      <c r="AJ71" s="548">
        <v>0.21289662231320369</v>
      </c>
      <c r="AK71" s="549">
        <v>40.477529258777636</v>
      </c>
      <c r="AL71" s="554">
        <v>768</v>
      </c>
      <c r="AM71" s="548">
        <v>0.39303991811668371</v>
      </c>
      <c r="AN71" s="550">
        <v>81.060468749999998</v>
      </c>
      <c r="AO71" s="630">
        <v>0.87829999999999997</v>
      </c>
      <c r="AP71" s="555">
        <v>0.71240000000000003</v>
      </c>
      <c r="AQ71" s="631">
        <v>0.75409999999999999</v>
      </c>
      <c r="AR71" s="632">
        <v>0.74590000000000001</v>
      </c>
      <c r="AS71" s="633">
        <v>3.13</v>
      </c>
      <c r="AT71" s="589" t="s">
        <v>335</v>
      </c>
      <c r="AU71" s="589" t="s">
        <v>435</v>
      </c>
    </row>
    <row r="72" spans="1:47" ht="21" hidden="1" customHeight="1">
      <c r="A72" t="s">
        <v>436</v>
      </c>
      <c r="B72" t="s">
        <v>366</v>
      </c>
      <c r="C72" s="759"/>
      <c r="D72" s="561" t="s">
        <v>40</v>
      </c>
      <c r="E72" s="561" t="s">
        <v>142</v>
      </c>
      <c r="F72" s="561" t="s">
        <v>44</v>
      </c>
      <c r="G72" s="562" t="s">
        <v>42</v>
      </c>
      <c r="H72" s="563">
        <v>7806.51</v>
      </c>
      <c r="I72" s="564">
        <v>385</v>
      </c>
      <c r="J72" s="565">
        <v>20.27664935064935</v>
      </c>
      <c r="K72" s="566">
        <v>368</v>
      </c>
      <c r="L72" s="567">
        <v>4.4155844155844157E-2</v>
      </c>
      <c r="M72" s="564">
        <v>307</v>
      </c>
      <c r="N72" s="568">
        <v>0.16576086956521738</v>
      </c>
      <c r="O72" s="565">
        <v>25.428371335504888</v>
      </c>
      <c r="P72" s="564">
        <v>190</v>
      </c>
      <c r="Q72" s="569">
        <v>0.51630434782608692</v>
      </c>
      <c r="R72" s="570">
        <v>41.086894736842105</v>
      </c>
      <c r="S72" s="565" t="s">
        <v>123</v>
      </c>
      <c r="T72" s="564" t="s">
        <v>123</v>
      </c>
      <c r="U72" s="565" t="s">
        <v>123</v>
      </c>
      <c r="V72" s="566" t="s">
        <v>123</v>
      </c>
      <c r="W72" s="567" t="s">
        <v>123</v>
      </c>
      <c r="X72" s="564" t="s">
        <v>123</v>
      </c>
      <c r="Y72" s="568" t="s">
        <v>123</v>
      </c>
      <c r="Z72" s="565" t="s">
        <v>123</v>
      </c>
      <c r="AA72" s="591" t="s">
        <v>123</v>
      </c>
      <c r="AB72" s="569" t="s">
        <v>123</v>
      </c>
      <c r="AC72" s="571" t="s">
        <v>123</v>
      </c>
      <c r="AD72" s="563">
        <v>7806.51</v>
      </c>
      <c r="AE72" s="564">
        <v>385</v>
      </c>
      <c r="AF72" s="565">
        <v>20.27664935064935</v>
      </c>
      <c r="AG72" s="566">
        <v>368</v>
      </c>
      <c r="AH72" s="567">
        <v>4.4155844155844157E-2</v>
      </c>
      <c r="AI72" s="564">
        <v>307</v>
      </c>
      <c r="AJ72" s="568">
        <v>0.16576086956521738</v>
      </c>
      <c r="AK72" s="565">
        <v>25.428371335504888</v>
      </c>
      <c r="AL72" s="591">
        <v>190</v>
      </c>
      <c r="AM72" s="569">
        <v>0.51630434782608692</v>
      </c>
      <c r="AN72" s="570">
        <v>41.086894736842105</v>
      </c>
      <c r="AO72" s="635"/>
      <c r="AP72" s="569"/>
      <c r="AQ72" s="653"/>
      <c r="AR72" s="637"/>
      <c r="AS72" s="633">
        <v>2.73</v>
      </c>
      <c r="AT72" s="579"/>
      <c r="AU72" s="580"/>
    </row>
    <row r="73" spans="1:47" ht="21" hidden="1" customHeight="1">
      <c r="A73" t="s">
        <v>437</v>
      </c>
      <c r="B73" t="s">
        <v>368</v>
      </c>
      <c r="C73" s="759"/>
      <c r="D73" s="561" t="s">
        <v>52</v>
      </c>
      <c r="E73" s="561" t="s">
        <v>145</v>
      </c>
      <c r="F73" s="561" t="s">
        <v>44</v>
      </c>
      <c r="G73" s="562" t="s">
        <v>42</v>
      </c>
      <c r="H73" s="563">
        <v>14616.04</v>
      </c>
      <c r="I73" s="564">
        <v>466</v>
      </c>
      <c r="J73" s="565">
        <v>31.364892703862662</v>
      </c>
      <c r="K73" s="566">
        <v>439</v>
      </c>
      <c r="L73" s="567">
        <v>5.7939914163090127E-2</v>
      </c>
      <c r="M73" s="564">
        <v>333</v>
      </c>
      <c r="N73" s="568">
        <v>0.24145785876993167</v>
      </c>
      <c r="O73" s="565">
        <v>43.892012012012017</v>
      </c>
      <c r="P73" s="564">
        <v>141</v>
      </c>
      <c r="Q73" s="569">
        <v>0.32118451025056949</v>
      </c>
      <c r="R73" s="570">
        <v>103.65985815602838</v>
      </c>
      <c r="S73" s="565" t="s">
        <v>123</v>
      </c>
      <c r="T73" s="564" t="s">
        <v>123</v>
      </c>
      <c r="U73" s="565" t="s">
        <v>123</v>
      </c>
      <c r="V73" s="566" t="s">
        <v>123</v>
      </c>
      <c r="W73" s="567" t="s">
        <v>123</v>
      </c>
      <c r="X73" s="564" t="s">
        <v>123</v>
      </c>
      <c r="Y73" s="568" t="s">
        <v>123</v>
      </c>
      <c r="Z73" s="565" t="s">
        <v>123</v>
      </c>
      <c r="AA73" s="591" t="s">
        <v>123</v>
      </c>
      <c r="AB73" s="569" t="s">
        <v>123</v>
      </c>
      <c r="AC73" s="571" t="s">
        <v>123</v>
      </c>
      <c r="AD73" s="563">
        <v>14616.04</v>
      </c>
      <c r="AE73" s="564">
        <v>466</v>
      </c>
      <c r="AF73" s="565">
        <v>31.364892703862662</v>
      </c>
      <c r="AG73" s="566">
        <v>439</v>
      </c>
      <c r="AH73" s="567">
        <v>5.7939914163090127E-2</v>
      </c>
      <c r="AI73" s="564">
        <v>333</v>
      </c>
      <c r="AJ73" s="568">
        <v>0.24145785876993167</v>
      </c>
      <c r="AK73" s="565">
        <v>43.892012012012017</v>
      </c>
      <c r="AL73" s="591">
        <v>141</v>
      </c>
      <c r="AM73" s="569">
        <v>0.32118451025056949</v>
      </c>
      <c r="AN73" s="570">
        <v>103.65985815602838</v>
      </c>
      <c r="AO73" s="635"/>
      <c r="AP73" s="569"/>
      <c r="AQ73" s="653"/>
      <c r="AR73" s="637"/>
      <c r="AS73" s="633">
        <v>2.73</v>
      </c>
      <c r="AT73" s="579"/>
      <c r="AU73" s="580"/>
    </row>
    <row r="74" spans="1:47" ht="21" hidden="1" customHeight="1">
      <c r="A74" t="s">
        <v>438</v>
      </c>
      <c r="B74" t="s">
        <v>370</v>
      </c>
      <c r="C74" s="759"/>
      <c r="D74" s="561" t="s">
        <v>40</v>
      </c>
      <c r="E74" s="561" t="s">
        <v>57</v>
      </c>
      <c r="F74" s="561" t="s">
        <v>57</v>
      </c>
      <c r="G74" s="562" t="s">
        <v>42</v>
      </c>
      <c r="H74" s="563">
        <v>2038.83</v>
      </c>
      <c r="I74" s="564">
        <v>108</v>
      </c>
      <c r="J74" s="565">
        <v>18.878055555555555</v>
      </c>
      <c r="K74" s="566">
        <v>100</v>
      </c>
      <c r="L74" s="567">
        <v>7.407407407407407E-2</v>
      </c>
      <c r="M74" s="564">
        <v>46</v>
      </c>
      <c r="N74" s="568">
        <v>0.54</v>
      </c>
      <c r="O74" s="565">
        <v>44.322391304347825</v>
      </c>
      <c r="P74" s="564">
        <v>21</v>
      </c>
      <c r="Q74" s="569">
        <v>0.21</v>
      </c>
      <c r="R74" s="570">
        <v>97.087142857142851</v>
      </c>
      <c r="S74" s="565">
        <v>2038.83</v>
      </c>
      <c r="T74" s="564">
        <v>108</v>
      </c>
      <c r="U74" s="565">
        <v>18.878055555555555</v>
      </c>
      <c r="V74" s="566">
        <v>100</v>
      </c>
      <c r="W74" s="567">
        <v>7.407407407407407E-2</v>
      </c>
      <c r="X74" s="564">
        <v>46</v>
      </c>
      <c r="Y74" s="568">
        <v>0.54</v>
      </c>
      <c r="Z74" s="565">
        <v>44.322391304347825</v>
      </c>
      <c r="AA74" s="591">
        <v>21</v>
      </c>
      <c r="AB74" s="569">
        <v>0.21</v>
      </c>
      <c r="AC74" s="571">
        <v>97.087142857142851</v>
      </c>
      <c r="AD74" s="563" t="s">
        <v>123</v>
      </c>
      <c r="AE74" s="564" t="s">
        <v>123</v>
      </c>
      <c r="AF74" s="565" t="s">
        <v>123</v>
      </c>
      <c r="AG74" s="566" t="s">
        <v>123</v>
      </c>
      <c r="AH74" s="567" t="s">
        <v>123</v>
      </c>
      <c r="AI74" s="564" t="s">
        <v>123</v>
      </c>
      <c r="AJ74" s="568" t="s">
        <v>123</v>
      </c>
      <c r="AK74" s="565" t="s">
        <v>123</v>
      </c>
      <c r="AL74" s="591" t="s">
        <v>123</v>
      </c>
      <c r="AM74" s="569" t="s">
        <v>123</v>
      </c>
      <c r="AN74" s="570" t="s">
        <v>123</v>
      </c>
      <c r="AO74" s="635"/>
      <c r="AP74" s="569"/>
      <c r="AQ74" s="653"/>
      <c r="AR74" s="637"/>
      <c r="AS74" s="633">
        <v>2.73</v>
      </c>
      <c r="AT74" s="579"/>
      <c r="AU74" s="580"/>
    </row>
    <row r="75" spans="1:47" ht="21" hidden="1" customHeight="1">
      <c r="A75" t="s">
        <v>439</v>
      </c>
      <c r="B75" t="s">
        <v>372</v>
      </c>
      <c r="C75" s="759"/>
      <c r="D75" s="561" t="s">
        <v>52</v>
      </c>
      <c r="E75" s="561" t="s">
        <v>121</v>
      </c>
      <c r="F75" s="561" t="s">
        <v>44</v>
      </c>
      <c r="G75" s="562" t="s">
        <v>42</v>
      </c>
      <c r="H75" s="563">
        <v>483.56</v>
      </c>
      <c r="I75" s="564">
        <v>3</v>
      </c>
      <c r="J75" s="565">
        <v>161.18666666666667</v>
      </c>
      <c r="K75" s="566">
        <v>5</v>
      </c>
      <c r="L75" s="567">
        <v>-0.66666666666666663</v>
      </c>
      <c r="M75" s="564">
        <v>5</v>
      </c>
      <c r="N75" s="568">
        <v>0</v>
      </c>
      <c r="O75" s="565">
        <v>96.712000000000003</v>
      </c>
      <c r="P75" s="564">
        <v>2</v>
      </c>
      <c r="Q75" s="569">
        <v>0.4</v>
      </c>
      <c r="R75" s="570">
        <v>241.78</v>
      </c>
      <c r="S75" s="565" t="s">
        <v>123</v>
      </c>
      <c r="T75" s="564" t="s">
        <v>123</v>
      </c>
      <c r="U75" s="565" t="s">
        <v>123</v>
      </c>
      <c r="V75" s="566" t="s">
        <v>123</v>
      </c>
      <c r="W75" s="567" t="s">
        <v>123</v>
      </c>
      <c r="X75" s="564" t="s">
        <v>123</v>
      </c>
      <c r="Y75" s="568" t="s">
        <v>123</v>
      </c>
      <c r="Z75" s="565" t="s">
        <v>123</v>
      </c>
      <c r="AA75" s="591" t="s">
        <v>123</v>
      </c>
      <c r="AB75" s="569" t="s">
        <v>123</v>
      </c>
      <c r="AC75" s="571" t="s">
        <v>123</v>
      </c>
      <c r="AD75" s="563">
        <v>483.56</v>
      </c>
      <c r="AE75" s="564">
        <v>3</v>
      </c>
      <c r="AF75" s="565">
        <v>161.18666666666667</v>
      </c>
      <c r="AG75" s="566">
        <v>5</v>
      </c>
      <c r="AH75" s="567">
        <v>-0.66666666666666663</v>
      </c>
      <c r="AI75" s="564">
        <v>5</v>
      </c>
      <c r="AJ75" s="568">
        <v>0</v>
      </c>
      <c r="AK75" s="565">
        <v>96.712000000000003</v>
      </c>
      <c r="AL75" s="591">
        <v>2</v>
      </c>
      <c r="AM75" s="569">
        <v>0.4</v>
      </c>
      <c r="AN75" s="570">
        <v>241.78</v>
      </c>
      <c r="AO75" s="635"/>
      <c r="AP75" s="569"/>
      <c r="AQ75" s="653"/>
      <c r="AR75" s="637"/>
      <c r="AS75" s="633">
        <v>2.73</v>
      </c>
      <c r="AT75" s="579"/>
      <c r="AU75" s="580"/>
    </row>
    <row r="76" spans="1:47" ht="21" hidden="1" customHeight="1">
      <c r="A76" t="s">
        <v>440</v>
      </c>
      <c r="B76" t="s">
        <v>374</v>
      </c>
      <c r="C76" s="759"/>
      <c r="D76" s="561" t="s">
        <v>40</v>
      </c>
      <c r="E76" s="561" t="s">
        <v>142</v>
      </c>
      <c r="F76" s="561" t="s">
        <v>44</v>
      </c>
      <c r="G76" s="562" t="s">
        <v>60</v>
      </c>
      <c r="H76" s="563">
        <v>11918.87</v>
      </c>
      <c r="I76" s="564">
        <v>555</v>
      </c>
      <c r="J76" s="565">
        <v>21.475441441441443</v>
      </c>
      <c r="K76" s="566">
        <v>506</v>
      </c>
      <c r="L76" s="567">
        <v>8.8288288288288289E-2</v>
      </c>
      <c r="M76" s="564">
        <v>408</v>
      </c>
      <c r="N76" s="568">
        <v>0.19367588932806323</v>
      </c>
      <c r="O76" s="565">
        <v>29.212916666666668</v>
      </c>
      <c r="P76" s="564">
        <v>216</v>
      </c>
      <c r="Q76" s="569">
        <v>0.4268774703557312</v>
      </c>
      <c r="R76" s="570">
        <v>55.17995370370371</v>
      </c>
      <c r="S76" s="565" t="s">
        <v>123</v>
      </c>
      <c r="T76" s="564" t="s">
        <v>123</v>
      </c>
      <c r="U76" s="565" t="s">
        <v>123</v>
      </c>
      <c r="V76" s="566" t="s">
        <v>123</v>
      </c>
      <c r="W76" s="567" t="s">
        <v>123</v>
      </c>
      <c r="X76" s="564" t="s">
        <v>123</v>
      </c>
      <c r="Y76" s="568" t="s">
        <v>123</v>
      </c>
      <c r="Z76" s="565" t="s">
        <v>123</v>
      </c>
      <c r="AA76" s="591" t="s">
        <v>123</v>
      </c>
      <c r="AB76" s="569" t="s">
        <v>123</v>
      </c>
      <c r="AC76" s="571" t="s">
        <v>123</v>
      </c>
      <c r="AD76" s="563">
        <v>11918.87</v>
      </c>
      <c r="AE76" s="564">
        <v>555</v>
      </c>
      <c r="AF76" s="565">
        <v>21.475441441441443</v>
      </c>
      <c r="AG76" s="566">
        <v>506</v>
      </c>
      <c r="AH76" s="567">
        <v>8.8288288288288289E-2</v>
      </c>
      <c r="AI76" s="564">
        <v>408</v>
      </c>
      <c r="AJ76" s="568">
        <v>0.19367588932806323</v>
      </c>
      <c r="AK76" s="565">
        <v>29.212916666666668</v>
      </c>
      <c r="AL76" s="591">
        <v>216</v>
      </c>
      <c r="AM76" s="569">
        <v>0.4268774703557312</v>
      </c>
      <c r="AN76" s="570">
        <v>55.17995370370371</v>
      </c>
      <c r="AO76" s="635"/>
      <c r="AP76" s="569"/>
      <c r="AQ76" s="653"/>
      <c r="AR76" s="637"/>
      <c r="AS76" s="633">
        <v>2.73</v>
      </c>
      <c r="AT76" s="579"/>
      <c r="AU76" s="580"/>
    </row>
    <row r="77" spans="1:47" ht="21" hidden="1" customHeight="1">
      <c r="A77" t="s">
        <v>441</v>
      </c>
      <c r="B77" t="s">
        <v>376</v>
      </c>
      <c r="C77" s="759"/>
      <c r="D77" s="561" t="s">
        <v>52</v>
      </c>
      <c r="E77" s="561" t="s">
        <v>145</v>
      </c>
      <c r="F77" s="561" t="s">
        <v>44</v>
      </c>
      <c r="G77" s="562" t="s">
        <v>60</v>
      </c>
      <c r="H77" s="563">
        <v>27429.46</v>
      </c>
      <c r="I77" s="564">
        <v>680</v>
      </c>
      <c r="J77" s="565">
        <v>40.337441176470584</v>
      </c>
      <c r="K77" s="566">
        <v>636</v>
      </c>
      <c r="L77" s="567">
        <v>6.4705882352941183E-2</v>
      </c>
      <c r="M77" s="564">
        <v>485</v>
      </c>
      <c r="N77" s="568">
        <v>0.23742138364779874</v>
      </c>
      <c r="O77" s="565">
        <v>56.555587628865979</v>
      </c>
      <c r="P77" s="564">
        <v>219</v>
      </c>
      <c r="Q77" s="569">
        <v>0.34433962264150941</v>
      </c>
      <c r="R77" s="570">
        <v>125.24867579908675</v>
      </c>
      <c r="S77" s="565" t="s">
        <v>123</v>
      </c>
      <c r="T77" s="564" t="s">
        <v>123</v>
      </c>
      <c r="U77" s="565" t="s">
        <v>123</v>
      </c>
      <c r="V77" s="566" t="s">
        <v>123</v>
      </c>
      <c r="W77" s="567" t="s">
        <v>123</v>
      </c>
      <c r="X77" s="564" t="s">
        <v>123</v>
      </c>
      <c r="Y77" s="568" t="s">
        <v>123</v>
      </c>
      <c r="Z77" s="565" t="s">
        <v>123</v>
      </c>
      <c r="AA77" s="591" t="s">
        <v>123</v>
      </c>
      <c r="AB77" s="569" t="s">
        <v>123</v>
      </c>
      <c r="AC77" s="571" t="s">
        <v>123</v>
      </c>
      <c r="AD77" s="563">
        <v>27429.46</v>
      </c>
      <c r="AE77" s="564">
        <v>680</v>
      </c>
      <c r="AF77" s="565">
        <v>40.337441176470584</v>
      </c>
      <c r="AG77" s="566">
        <v>636</v>
      </c>
      <c r="AH77" s="567">
        <v>6.4705882352941183E-2</v>
      </c>
      <c r="AI77" s="564">
        <v>485</v>
      </c>
      <c r="AJ77" s="568">
        <v>0.23742138364779874</v>
      </c>
      <c r="AK77" s="565">
        <v>56.555587628865979</v>
      </c>
      <c r="AL77" s="591">
        <v>219</v>
      </c>
      <c r="AM77" s="569">
        <v>0.34433962264150941</v>
      </c>
      <c r="AN77" s="570">
        <v>125.24867579908675</v>
      </c>
      <c r="AO77" s="635"/>
      <c r="AP77" s="569"/>
      <c r="AQ77" s="653"/>
      <c r="AR77" s="637"/>
      <c r="AS77" s="633">
        <v>2.73</v>
      </c>
      <c r="AT77" s="579"/>
      <c r="AU77" s="580"/>
    </row>
    <row r="78" spans="1:47" ht="21" hidden="1" customHeight="1">
      <c r="A78" t="s">
        <v>442</v>
      </c>
      <c r="B78" t="s">
        <v>378</v>
      </c>
      <c r="C78" s="760"/>
      <c r="D78" s="584" t="s">
        <v>40</v>
      </c>
      <c r="E78" s="584" t="s">
        <v>57</v>
      </c>
      <c r="F78" s="584" t="s">
        <v>57</v>
      </c>
      <c r="G78" s="585" t="s">
        <v>60</v>
      </c>
      <c r="H78" s="563">
        <v>11630.35</v>
      </c>
      <c r="I78" s="581">
        <v>683</v>
      </c>
      <c r="J78" s="582">
        <v>17.028330893118596</v>
      </c>
      <c r="K78" s="566">
        <v>335</v>
      </c>
      <c r="L78" s="567">
        <v>0.5095168374816984</v>
      </c>
      <c r="M78" s="564">
        <v>151</v>
      </c>
      <c r="N78" s="568">
        <v>0.54925373134328359</v>
      </c>
      <c r="O78" s="586">
        <v>77.02218543046358</v>
      </c>
      <c r="P78" s="564">
        <v>51</v>
      </c>
      <c r="Q78" s="569">
        <v>0.15223880597014924</v>
      </c>
      <c r="R78" s="570">
        <v>228.04607843137256</v>
      </c>
      <c r="S78" s="565">
        <v>11630.35</v>
      </c>
      <c r="T78" s="564">
        <v>683</v>
      </c>
      <c r="U78" s="565">
        <v>17.028330893118596</v>
      </c>
      <c r="V78" s="566">
        <v>335</v>
      </c>
      <c r="W78" s="567">
        <v>0.5095168374816984</v>
      </c>
      <c r="X78" s="564">
        <v>151</v>
      </c>
      <c r="Y78" s="568">
        <v>0.54925373134328359</v>
      </c>
      <c r="Z78" s="586">
        <v>77.02218543046358</v>
      </c>
      <c r="AA78" s="591">
        <v>51</v>
      </c>
      <c r="AB78" s="569">
        <v>0.15223880597014924</v>
      </c>
      <c r="AC78" s="571">
        <v>228.04607843137256</v>
      </c>
      <c r="AD78" s="563" t="s">
        <v>123</v>
      </c>
      <c r="AE78" s="564" t="s">
        <v>123</v>
      </c>
      <c r="AF78" s="565" t="s">
        <v>123</v>
      </c>
      <c r="AG78" s="566" t="s">
        <v>123</v>
      </c>
      <c r="AH78" s="567" t="s">
        <v>123</v>
      </c>
      <c r="AI78" s="564" t="s">
        <v>123</v>
      </c>
      <c r="AJ78" s="568" t="s">
        <v>123</v>
      </c>
      <c r="AK78" s="586" t="s">
        <v>123</v>
      </c>
      <c r="AL78" s="591" t="s">
        <v>123</v>
      </c>
      <c r="AM78" s="569" t="s">
        <v>123</v>
      </c>
      <c r="AN78" s="570" t="s">
        <v>123</v>
      </c>
      <c r="AO78" s="635"/>
      <c r="AP78" s="654"/>
      <c r="AQ78" s="653"/>
      <c r="AR78" s="641"/>
      <c r="AS78" s="633">
        <v>2.73</v>
      </c>
      <c r="AT78" s="579"/>
      <c r="AU78" s="580"/>
    </row>
    <row r="79" spans="1:47" ht="49.95" customHeight="1">
      <c r="C79" s="758" t="s">
        <v>231</v>
      </c>
      <c r="D79" s="541"/>
      <c r="E79" s="541"/>
      <c r="F79" s="541"/>
      <c r="G79" s="542" t="s">
        <v>139</v>
      </c>
      <c r="H79" s="543">
        <v>83348.61298901643</v>
      </c>
      <c r="I79" s="544">
        <v>3358</v>
      </c>
      <c r="J79" s="545">
        <v>24.820909168855398</v>
      </c>
      <c r="K79" s="546">
        <v>2939</v>
      </c>
      <c r="L79" s="547">
        <v>0.12477665276950566</v>
      </c>
      <c r="M79" s="544">
        <v>2175</v>
      </c>
      <c r="N79" s="548">
        <v>0.25995236474991495</v>
      </c>
      <c r="O79" s="549">
        <v>38.321201374260426</v>
      </c>
      <c r="P79" s="544">
        <v>1073</v>
      </c>
      <c r="Q79" s="548">
        <v>0.3650901667233753</v>
      </c>
      <c r="R79" s="550">
        <v>77.678110893771134</v>
      </c>
      <c r="S79" s="545">
        <v>17240.672989016432</v>
      </c>
      <c r="T79" s="544">
        <v>773</v>
      </c>
      <c r="U79" s="545">
        <v>22.30358730791259</v>
      </c>
      <c r="V79" s="546">
        <v>503</v>
      </c>
      <c r="W79" s="547">
        <v>0.34928848641655885</v>
      </c>
      <c r="X79" s="544">
        <v>269</v>
      </c>
      <c r="Y79" s="548">
        <v>0.46520874751491054</v>
      </c>
      <c r="Z79" s="549">
        <v>64.091721148759973</v>
      </c>
      <c r="AA79" s="629">
        <v>91</v>
      </c>
      <c r="AB79" s="548">
        <v>0.18091451292246521</v>
      </c>
      <c r="AC79" s="551">
        <v>189.45794493424651</v>
      </c>
      <c r="AD79" s="552">
        <v>66107.94</v>
      </c>
      <c r="AE79" s="553">
        <v>2585</v>
      </c>
      <c r="AF79" s="549">
        <v>25.573671179883945</v>
      </c>
      <c r="AG79" s="546">
        <v>2436</v>
      </c>
      <c r="AH79" s="547">
        <v>5.7640232108317216E-2</v>
      </c>
      <c r="AI79" s="553">
        <v>1906</v>
      </c>
      <c r="AJ79" s="548">
        <v>0.21756978653530379</v>
      </c>
      <c r="AK79" s="549">
        <v>34.684123819517318</v>
      </c>
      <c r="AL79" s="554">
        <v>982</v>
      </c>
      <c r="AM79" s="548">
        <v>0.40311986863711002</v>
      </c>
      <c r="AN79" s="550">
        <v>67.319694501018333</v>
      </c>
      <c r="AO79" s="630">
        <v>0.80249999999999999</v>
      </c>
      <c r="AP79" s="555">
        <v>0.7409</v>
      </c>
      <c r="AQ79" s="631">
        <v>0.76890000000000003</v>
      </c>
      <c r="AR79" s="632">
        <v>0.74280000000000002</v>
      </c>
      <c r="AS79" s="633">
        <v>2.73</v>
      </c>
      <c r="AT79" s="583" t="s">
        <v>443</v>
      </c>
      <c r="AU79" s="580"/>
    </row>
    <row r="80" spans="1:47" ht="21" hidden="1" customHeight="1">
      <c r="A80" t="s">
        <v>444</v>
      </c>
      <c r="B80" t="s">
        <v>366</v>
      </c>
      <c r="C80" s="759"/>
      <c r="D80" s="561" t="s">
        <v>40</v>
      </c>
      <c r="E80" s="561" t="s">
        <v>142</v>
      </c>
      <c r="F80" s="561" t="s">
        <v>44</v>
      </c>
      <c r="G80" s="562" t="s">
        <v>42</v>
      </c>
      <c r="H80" s="563">
        <v>10383.76</v>
      </c>
      <c r="I80" s="564">
        <v>722</v>
      </c>
      <c r="J80" s="565">
        <v>14.381939058171746</v>
      </c>
      <c r="K80" s="566">
        <v>673</v>
      </c>
      <c r="L80" s="567">
        <v>6.7867036011080337E-2</v>
      </c>
      <c r="M80" s="564">
        <v>538</v>
      </c>
      <c r="N80" s="568">
        <v>0.20059435364041606</v>
      </c>
      <c r="O80" s="565">
        <v>19.300669144981413</v>
      </c>
      <c r="P80" s="564">
        <v>316</v>
      </c>
      <c r="Q80" s="569">
        <v>0.46953937592867756</v>
      </c>
      <c r="R80" s="570">
        <v>32.86</v>
      </c>
      <c r="S80" s="565" t="s">
        <v>123</v>
      </c>
      <c r="T80" s="564" t="s">
        <v>123</v>
      </c>
      <c r="U80" s="565" t="s">
        <v>123</v>
      </c>
      <c r="V80" s="566" t="s">
        <v>123</v>
      </c>
      <c r="W80" s="567" t="s">
        <v>123</v>
      </c>
      <c r="X80" s="564" t="s">
        <v>123</v>
      </c>
      <c r="Y80" s="568" t="s">
        <v>123</v>
      </c>
      <c r="Z80" s="565" t="s">
        <v>123</v>
      </c>
      <c r="AA80" s="591" t="s">
        <v>123</v>
      </c>
      <c r="AB80" s="569" t="s">
        <v>123</v>
      </c>
      <c r="AC80" s="571" t="s">
        <v>123</v>
      </c>
      <c r="AD80" s="563">
        <v>10383.76</v>
      </c>
      <c r="AE80" s="564">
        <v>722</v>
      </c>
      <c r="AF80" s="565">
        <v>14.381939058171746</v>
      </c>
      <c r="AG80" s="566">
        <v>673</v>
      </c>
      <c r="AH80" s="567">
        <v>6.7867036011080337E-2</v>
      </c>
      <c r="AI80" s="564">
        <v>538</v>
      </c>
      <c r="AJ80" s="568">
        <v>0.20059435364041606</v>
      </c>
      <c r="AK80" s="565">
        <v>19.300669144981413</v>
      </c>
      <c r="AL80" s="591">
        <v>316</v>
      </c>
      <c r="AM80" s="569">
        <v>0.46953937592867756</v>
      </c>
      <c r="AN80" s="570">
        <v>32.86</v>
      </c>
      <c r="AO80" s="635"/>
      <c r="AP80" s="569"/>
      <c r="AQ80" s="653"/>
      <c r="AR80" s="637"/>
      <c r="AS80" s="638"/>
      <c r="AT80" s="579"/>
      <c r="AU80" s="580"/>
    </row>
    <row r="81" spans="1:47" ht="21" hidden="1" customHeight="1">
      <c r="A81" t="s">
        <v>445</v>
      </c>
      <c r="B81" t="s">
        <v>368</v>
      </c>
      <c r="C81" s="759"/>
      <c r="D81" s="561" t="s">
        <v>52</v>
      </c>
      <c r="E81" s="561" t="s">
        <v>145</v>
      </c>
      <c r="F81" s="561" t="s">
        <v>44</v>
      </c>
      <c r="G81" s="562" t="s">
        <v>42</v>
      </c>
      <c r="H81" s="563">
        <v>7255.79</v>
      </c>
      <c r="I81" s="564">
        <v>332</v>
      </c>
      <c r="J81" s="565">
        <v>21.854789156626506</v>
      </c>
      <c r="K81" s="566">
        <v>300</v>
      </c>
      <c r="L81" s="567">
        <v>9.6385542168674704E-2</v>
      </c>
      <c r="M81" s="564">
        <v>235</v>
      </c>
      <c r="N81" s="568">
        <v>0.21666666666666667</v>
      </c>
      <c r="O81" s="565">
        <v>30.875702127659576</v>
      </c>
      <c r="P81" s="564">
        <v>86</v>
      </c>
      <c r="Q81" s="569">
        <v>0.28666666666666668</v>
      </c>
      <c r="R81" s="570">
        <v>84.369651162790703</v>
      </c>
      <c r="S81" s="565" t="s">
        <v>123</v>
      </c>
      <c r="T81" s="564" t="s">
        <v>123</v>
      </c>
      <c r="U81" s="565" t="s">
        <v>123</v>
      </c>
      <c r="V81" s="566" t="s">
        <v>123</v>
      </c>
      <c r="W81" s="567" t="s">
        <v>123</v>
      </c>
      <c r="X81" s="564" t="s">
        <v>123</v>
      </c>
      <c r="Y81" s="568" t="s">
        <v>123</v>
      </c>
      <c r="Z81" s="565" t="s">
        <v>123</v>
      </c>
      <c r="AA81" s="591" t="s">
        <v>123</v>
      </c>
      <c r="AB81" s="569" t="s">
        <v>123</v>
      </c>
      <c r="AC81" s="571" t="s">
        <v>123</v>
      </c>
      <c r="AD81" s="563">
        <v>7255.79</v>
      </c>
      <c r="AE81" s="564">
        <v>332</v>
      </c>
      <c r="AF81" s="565">
        <v>21.854789156626506</v>
      </c>
      <c r="AG81" s="566">
        <v>300</v>
      </c>
      <c r="AH81" s="567">
        <v>9.6385542168674704E-2</v>
      </c>
      <c r="AI81" s="564">
        <v>235</v>
      </c>
      <c r="AJ81" s="568">
        <v>0.21666666666666667</v>
      </c>
      <c r="AK81" s="565">
        <v>30.875702127659576</v>
      </c>
      <c r="AL81" s="591">
        <v>86</v>
      </c>
      <c r="AM81" s="569">
        <v>0.28666666666666668</v>
      </c>
      <c r="AN81" s="570">
        <v>84.369651162790703</v>
      </c>
      <c r="AO81" s="635"/>
      <c r="AP81" s="569"/>
      <c r="AQ81" s="653"/>
      <c r="AR81" s="637"/>
      <c r="AS81" s="638"/>
      <c r="AT81" s="579"/>
      <c r="AU81" s="580"/>
    </row>
    <row r="82" spans="1:47" ht="21" hidden="1" customHeight="1">
      <c r="A82" t="s">
        <v>446</v>
      </c>
      <c r="B82" t="s">
        <v>370</v>
      </c>
      <c r="C82" s="759"/>
      <c r="D82" s="561" t="s">
        <v>40</v>
      </c>
      <c r="E82" s="561" t="s">
        <v>57</v>
      </c>
      <c r="F82" s="561" t="s">
        <v>57</v>
      </c>
      <c r="G82" s="562" t="s">
        <v>42</v>
      </c>
      <c r="H82" s="563">
        <v>5166.96</v>
      </c>
      <c r="I82" s="564">
        <v>239</v>
      </c>
      <c r="J82" s="565">
        <v>21.619079497907951</v>
      </c>
      <c r="K82" s="566">
        <v>185</v>
      </c>
      <c r="L82" s="567">
        <v>0.22594142259414227</v>
      </c>
      <c r="M82" s="564">
        <v>86</v>
      </c>
      <c r="N82" s="568">
        <v>0.53513513513513511</v>
      </c>
      <c r="O82" s="565">
        <v>60.080930232558138</v>
      </c>
      <c r="P82" s="564">
        <v>22</v>
      </c>
      <c r="Q82" s="569">
        <v>0.11891891891891893</v>
      </c>
      <c r="R82" s="570">
        <v>234.86181818181819</v>
      </c>
      <c r="S82" s="565">
        <v>5166.96</v>
      </c>
      <c r="T82" s="564">
        <v>239</v>
      </c>
      <c r="U82" s="565">
        <v>21.619079497907951</v>
      </c>
      <c r="V82" s="566">
        <v>185</v>
      </c>
      <c r="W82" s="567">
        <v>0.22594142259414227</v>
      </c>
      <c r="X82" s="564">
        <v>86</v>
      </c>
      <c r="Y82" s="568">
        <v>0.53513513513513511</v>
      </c>
      <c r="Z82" s="565">
        <v>60.080930232558138</v>
      </c>
      <c r="AA82" s="591">
        <v>22</v>
      </c>
      <c r="AB82" s="569">
        <v>0.11891891891891893</v>
      </c>
      <c r="AC82" s="571">
        <v>234.86181818181819</v>
      </c>
      <c r="AD82" s="563" t="s">
        <v>123</v>
      </c>
      <c r="AE82" s="564" t="s">
        <v>123</v>
      </c>
      <c r="AF82" s="565" t="s">
        <v>123</v>
      </c>
      <c r="AG82" s="566" t="s">
        <v>123</v>
      </c>
      <c r="AH82" s="567" t="s">
        <v>123</v>
      </c>
      <c r="AI82" s="564" t="s">
        <v>123</v>
      </c>
      <c r="AJ82" s="568" t="s">
        <v>123</v>
      </c>
      <c r="AK82" s="565" t="s">
        <v>123</v>
      </c>
      <c r="AL82" s="591" t="s">
        <v>123</v>
      </c>
      <c r="AM82" s="569" t="s">
        <v>123</v>
      </c>
      <c r="AN82" s="570" t="s">
        <v>123</v>
      </c>
      <c r="AO82" s="635"/>
      <c r="AP82" s="569"/>
      <c r="AQ82" s="653"/>
      <c r="AR82" s="637"/>
      <c r="AS82" s="638"/>
      <c r="AT82" s="579"/>
      <c r="AU82" s="580"/>
    </row>
    <row r="83" spans="1:47" ht="21" hidden="1" customHeight="1">
      <c r="A83" t="s">
        <v>447</v>
      </c>
      <c r="B83" t="s">
        <v>372</v>
      </c>
      <c r="C83" s="759"/>
      <c r="D83" s="561" t="s">
        <v>52</v>
      </c>
      <c r="E83" s="561" t="s">
        <v>121</v>
      </c>
      <c r="F83" s="561" t="s">
        <v>44</v>
      </c>
      <c r="G83" s="562" t="s">
        <v>42</v>
      </c>
      <c r="H83" s="563">
        <v>2561.36</v>
      </c>
      <c r="I83" s="564">
        <v>27</v>
      </c>
      <c r="J83" s="565">
        <v>94.865185185185183</v>
      </c>
      <c r="K83" s="566">
        <v>31</v>
      </c>
      <c r="L83" s="567">
        <v>-0.14814814814814814</v>
      </c>
      <c r="M83" s="564">
        <v>30</v>
      </c>
      <c r="N83" s="568">
        <v>3.2258064516129031E-2</v>
      </c>
      <c r="O83" s="565">
        <v>85.378666666666675</v>
      </c>
      <c r="P83" s="564">
        <v>21</v>
      </c>
      <c r="Q83" s="569">
        <v>0.67741935483870963</v>
      </c>
      <c r="R83" s="570">
        <v>121.96952380952382</v>
      </c>
      <c r="S83" s="565" t="s">
        <v>123</v>
      </c>
      <c r="T83" s="564" t="s">
        <v>123</v>
      </c>
      <c r="U83" s="565" t="s">
        <v>123</v>
      </c>
      <c r="V83" s="566" t="s">
        <v>123</v>
      </c>
      <c r="W83" s="567" t="s">
        <v>123</v>
      </c>
      <c r="X83" s="564" t="s">
        <v>123</v>
      </c>
      <c r="Y83" s="568" t="s">
        <v>123</v>
      </c>
      <c r="Z83" s="565" t="s">
        <v>123</v>
      </c>
      <c r="AA83" s="591" t="s">
        <v>123</v>
      </c>
      <c r="AB83" s="569" t="s">
        <v>123</v>
      </c>
      <c r="AC83" s="571" t="s">
        <v>123</v>
      </c>
      <c r="AD83" s="563">
        <v>2561.36</v>
      </c>
      <c r="AE83" s="564">
        <v>27</v>
      </c>
      <c r="AF83" s="565">
        <v>94.865185185185183</v>
      </c>
      <c r="AG83" s="566">
        <v>31</v>
      </c>
      <c r="AH83" s="567">
        <v>-0.14814814814814814</v>
      </c>
      <c r="AI83" s="564">
        <v>30</v>
      </c>
      <c r="AJ83" s="568">
        <v>3.2258064516129031E-2</v>
      </c>
      <c r="AK83" s="565">
        <v>85.378666666666675</v>
      </c>
      <c r="AL83" s="591">
        <v>21</v>
      </c>
      <c r="AM83" s="569">
        <v>0.67741935483870963</v>
      </c>
      <c r="AN83" s="570">
        <v>121.96952380952382</v>
      </c>
      <c r="AO83" s="635"/>
      <c r="AP83" s="569"/>
      <c r="AQ83" s="653"/>
      <c r="AR83" s="637"/>
      <c r="AS83" s="638"/>
      <c r="AT83" s="579"/>
      <c r="AU83" s="580"/>
    </row>
    <row r="84" spans="1:47" ht="21" hidden="1" customHeight="1">
      <c r="A84" t="s">
        <v>448</v>
      </c>
      <c r="B84" t="s">
        <v>374</v>
      </c>
      <c r="C84" s="759"/>
      <c r="D84" s="561" t="s">
        <v>40</v>
      </c>
      <c r="E84" s="561" t="s">
        <v>142</v>
      </c>
      <c r="F84" s="561" t="s">
        <v>44</v>
      </c>
      <c r="G84" s="562" t="s">
        <v>60</v>
      </c>
      <c r="H84" s="563">
        <v>21640.91</v>
      </c>
      <c r="I84" s="564">
        <v>778</v>
      </c>
      <c r="J84" s="565">
        <v>27.816079691516709</v>
      </c>
      <c r="K84" s="566">
        <v>743</v>
      </c>
      <c r="L84" s="567">
        <v>4.4987146529562982E-2</v>
      </c>
      <c r="M84" s="564">
        <v>578</v>
      </c>
      <c r="N84" s="568">
        <v>0.22207267833109018</v>
      </c>
      <c r="O84" s="565">
        <v>37.441020761245674</v>
      </c>
      <c r="P84" s="564">
        <v>324</v>
      </c>
      <c r="Q84" s="569">
        <v>0.43606998654104978</v>
      </c>
      <c r="R84" s="570">
        <v>66.792932098765434</v>
      </c>
      <c r="S84" s="565" t="s">
        <v>123</v>
      </c>
      <c r="T84" s="564" t="s">
        <v>123</v>
      </c>
      <c r="U84" s="565" t="s">
        <v>123</v>
      </c>
      <c r="V84" s="566" t="s">
        <v>123</v>
      </c>
      <c r="W84" s="567" t="s">
        <v>123</v>
      </c>
      <c r="X84" s="564" t="s">
        <v>123</v>
      </c>
      <c r="Y84" s="568" t="s">
        <v>123</v>
      </c>
      <c r="Z84" s="565" t="s">
        <v>123</v>
      </c>
      <c r="AA84" s="591" t="s">
        <v>123</v>
      </c>
      <c r="AB84" s="569" t="s">
        <v>123</v>
      </c>
      <c r="AC84" s="571" t="s">
        <v>123</v>
      </c>
      <c r="AD84" s="563">
        <v>21640.91</v>
      </c>
      <c r="AE84" s="564">
        <v>778</v>
      </c>
      <c r="AF84" s="565">
        <v>27.816079691516709</v>
      </c>
      <c r="AG84" s="566">
        <v>743</v>
      </c>
      <c r="AH84" s="567">
        <v>4.4987146529562982E-2</v>
      </c>
      <c r="AI84" s="564">
        <v>578</v>
      </c>
      <c r="AJ84" s="568">
        <v>0.22207267833109018</v>
      </c>
      <c r="AK84" s="565">
        <v>37.441020761245674</v>
      </c>
      <c r="AL84" s="591">
        <v>324</v>
      </c>
      <c r="AM84" s="569">
        <v>0.43606998654104978</v>
      </c>
      <c r="AN84" s="570">
        <v>66.792932098765434</v>
      </c>
      <c r="AO84" s="635"/>
      <c r="AP84" s="569"/>
      <c r="AQ84" s="653"/>
      <c r="AR84" s="637"/>
      <c r="AS84" s="638"/>
      <c r="AT84" s="579"/>
      <c r="AU84" s="580"/>
    </row>
    <row r="85" spans="1:47" ht="21" hidden="1" customHeight="1">
      <c r="A85" t="s">
        <v>449</v>
      </c>
      <c r="B85" t="s">
        <v>376</v>
      </c>
      <c r="C85" s="759"/>
      <c r="D85" s="561" t="s">
        <v>52</v>
      </c>
      <c r="E85" s="561" t="s">
        <v>145</v>
      </c>
      <c r="F85" s="561" t="s">
        <v>44</v>
      </c>
      <c r="G85" s="562" t="s">
        <v>60</v>
      </c>
      <c r="H85" s="563">
        <v>24266.12</v>
      </c>
      <c r="I85" s="564">
        <v>726</v>
      </c>
      <c r="J85" s="565">
        <v>33.424407713498624</v>
      </c>
      <c r="K85" s="566">
        <v>689</v>
      </c>
      <c r="L85" s="567">
        <v>5.0964187327823693E-2</v>
      </c>
      <c r="M85" s="564">
        <v>525</v>
      </c>
      <c r="N85" s="568">
        <v>0.23802612481857766</v>
      </c>
      <c r="O85" s="565">
        <v>46.221180952380948</v>
      </c>
      <c r="P85" s="564">
        <v>235</v>
      </c>
      <c r="Q85" s="569">
        <v>0.34107402031930334</v>
      </c>
      <c r="R85" s="570">
        <v>103.26008510638297</v>
      </c>
      <c r="S85" s="565" t="s">
        <v>123</v>
      </c>
      <c r="T85" s="564" t="s">
        <v>123</v>
      </c>
      <c r="U85" s="565" t="s">
        <v>123</v>
      </c>
      <c r="V85" s="566" t="s">
        <v>123</v>
      </c>
      <c r="W85" s="567" t="s">
        <v>123</v>
      </c>
      <c r="X85" s="564" t="s">
        <v>123</v>
      </c>
      <c r="Y85" s="568" t="s">
        <v>123</v>
      </c>
      <c r="Z85" s="565" t="s">
        <v>123</v>
      </c>
      <c r="AA85" s="591" t="s">
        <v>123</v>
      </c>
      <c r="AB85" s="569" t="s">
        <v>123</v>
      </c>
      <c r="AC85" s="571" t="s">
        <v>123</v>
      </c>
      <c r="AD85" s="563">
        <v>24266.12</v>
      </c>
      <c r="AE85" s="564">
        <v>726</v>
      </c>
      <c r="AF85" s="565">
        <v>33.424407713498624</v>
      </c>
      <c r="AG85" s="566">
        <v>689</v>
      </c>
      <c r="AH85" s="567">
        <v>5.0964187327823693E-2</v>
      </c>
      <c r="AI85" s="564">
        <v>525</v>
      </c>
      <c r="AJ85" s="568">
        <v>0.23802612481857766</v>
      </c>
      <c r="AK85" s="565">
        <v>46.221180952380948</v>
      </c>
      <c r="AL85" s="591">
        <v>235</v>
      </c>
      <c r="AM85" s="569">
        <v>0.34107402031930334</v>
      </c>
      <c r="AN85" s="570">
        <v>103.26008510638297</v>
      </c>
      <c r="AO85" s="635"/>
      <c r="AP85" s="569"/>
      <c r="AQ85" s="653"/>
      <c r="AR85" s="637"/>
      <c r="AS85" s="638"/>
      <c r="AT85" s="579"/>
      <c r="AU85" s="580"/>
    </row>
    <row r="86" spans="1:47" ht="21" hidden="1" customHeight="1">
      <c r="A86" t="s">
        <v>450</v>
      </c>
      <c r="B86" t="s">
        <v>378</v>
      </c>
      <c r="C86" s="760"/>
      <c r="D86" s="584" t="s">
        <v>40</v>
      </c>
      <c r="E86" s="584" t="s">
        <v>57</v>
      </c>
      <c r="F86" s="584" t="s">
        <v>57</v>
      </c>
      <c r="G86" s="585" t="s">
        <v>60</v>
      </c>
      <c r="H86" s="563">
        <v>12073.712989016431</v>
      </c>
      <c r="I86" s="581">
        <v>534</v>
      </c>
      <c r="J86" s="582">
        <v>22.609949417633764</v>
      </c>
      <c r="K86" s="566">
        <v>318</v>
      </c>
      <c r="L86" s="567">
        <v>0.4044943820224719</v>
      </c>
      <c r="M86" s="564">
        <v>183</v>
      </c>
      <c r="N86" s="568">
        <v>0.42452830188679247</v>
      </c>
      <c r="O86" s="586">
        <v>65.976573710472294</v>
      </c>
      <c r="P86" s="564">
        <v>69</v>
      </c>
      <c r="Q86" s="569">
        <v>0.21698113207547171</v>
      </c>
      <c r="R86" s="570">
        <v>174.98134766690478</v>
      </c>
      <c r="S86" s="565">
        <v>12073.712989016431</v>
      </c>
      <c r="T86" s="564">
        <v>534</v>
      </c>
      <c r="U86" s="565">
        <v>22.609949417633764</v>
      </c>
      <c r="V86" s="566">
        <v>318</v>
      </c>
      <c r="W86" s="567">
        <v>0.4044943820224719</v>
      </c>
      <c r="X86" s="564">
        <v>183</v>
      </c>
      <c r="Y86" s="568">
        <v>0.42452830188679247</v>
      </c>
      <c r="Z86" s="586">
        <v>65.976573710472294</v>
      </c>
      <c r="AA86" s="591">
        <v>69</v>
      </c>
      <c r="AB86" s="569">
        <v>0.21698113207547171</v>
      </c>
      <c r="AC86" s="571">
        <v>174.98134766690478</v>
      </c>
      <c r="AD86" s="563" t="s">
        <v>123</v>
      </c>
      <c r="AE86" s="564" t="s">
        <v>123</v>
      </c>
      <c r="AF86" s="565" t="s">
        <v>123</v>
      </c>
      <c r="AG86" s="566" t="s">
        <v>123</v>
      </c>
      <c r="AH86" s="567" t="s">
        <v>123</v>
      </c>
      <c r="AI86" s="564" t="s">
        <v>123</v>
      </c>
      <c r="AJ86" s="568" t="s">
        <v>123</v>
      </c>
      <c r="AK86" s="586" t="s">
        <v>123</v>
      </c>
      <c r="AL86" s="591" t="s">
        <v>123</v>
      </c>
      <c r="AM86" s="569" t="s">
        <v>123</v>
      </c>
      <c r="AN86" s="570" t="s">
        <v>123</v>
      </c>
      <c r="AO86" s="635"/>
      <c r="AP86" s="654"/>
      <c r="AQ86" s="653"/>
      <c r="AR86" s="641"/>
      <c r="AS86" s="638"/>
      <c r="AT86" s="579"/>
      <c r="AU86" s="580"/>
    </row>
    <row r="87" spans="1:47" ht="49.95" customHeight="1">
      <c r="C87" s="758" t="s">
        <v>571</v>
      </c>
      <c r="D87" s="541"/>
      <c r="E87" s="541"/>
      <c r="F87" s="541"/>
      <c r="G87" s="542" t="s">
        <v>139</v>
      </c>
      <c r="H87" s="543">
        <v>296071.94999999995</v>
      </c>
      <c r="I87" s="544">
        <v>16573</v>
      </c>
      <c r="J87" s="545">
        <v>17.864716707898385</v>
      </c>
      <c r="K87" s="546">
        <v>9499</v>
      </c>
      <c r="L87" s="547">
        <v>0.42683883424847646</v>
      </c>
      <c r="M87" s="544">
        <v>4889</v>
      </c>
      <c r="N87" s="548">
        <v>0.48531424360458997</v>
      </c>
      <c r="O87" s="549">
        <v>60.55879525465329</v>
      </c>
      <c r="P87" s="544">
        <v>1848</v>
      </c>
      <c r="Q87" s="548">
        <v>0.19454679439941047</v>
      </c>
      <c r="R87" s="550">
        <v>160.21209415584414</v>
      </c>
      <c r="S87" s="718">
        <v>213311.21999999997</v>
      </c>
      <c r="T87" s="719">
        <v>13281</v>
      </c>
      <c r="U87" s="718">
        <v>16.061382426022135</v>
      </c>
      <c r="V87" s="721">
        <v>6410</v>
      </c>
      <c r="W87" s="722">
        <v>0.51735562081168585</v>
      </c>
      <c r="X87" s="719">
        <v>2432</v>
      </c>
      <c r="Y87" s="723">
        <v>0.62059282371294855</v>
      </c>
      <c r="Z87" s="727">
        <v>87.710205592105254</v>
      </c>
      <c r="AA87" s="725">
        <v>628</v>
      </c>
      <c r="AB87" s="723">
        <v>9.7971918876755076E-2</v>
      </c>
      <c r="AC87" s="726">
        <v>339.66754777070059</v>
      </c>
      <c r="AD87" s="552">
        <v>82760.73</v>
      </c>
      <c r="AE87" s="553">
        <v>3292</v>
      </c>
      <c r="AF87" s="549">
        <v>25.139954434993925</v>
      </c>
      <c r="AG87" s="546">
        <v>3089</v>
      </c>
      <c r="AH87" s="547">
        <v>6.1664641555285539E-2</v>
      </c>
      <c r="AI87" s="553">
        <v>2457</v>
      </c>
      <c r="AJ87" s="548">
        <v>0.20459695694399482</v>
      </c>
      <c r="AK87" s="549">
        <v>33.683650793650791</v>
      </c>
      <c r="AL87" s="553">
        <v>1220</v>
      </c>
      <c r="AM87" s="548">
        <v>0.39494982194885075</v>
      </c>
      <c r="AN87" s="550">
        <v>67.836663934426227</v>
      </c>
      <c r="AO87" s="630">
        <v>0.80840000000000001</v>
      </c>
      <c r="AP87" s="555">
        <v>0.76270000000000004</v>
      </c>
      <c r="AQ87" s="631">
        <v>0.75829999999999997</v>
      </c>
      <c r="AR87" s="632">
        <v>0.73109999999999997</v>
      </c>
      <c r="AS87" s="633">
        <v>3.05</v>
      </c>
      <c r="AT87" s="583" t="s">
        <v>240</v>
      </c>
      <c r="AU87" s="589" t="s">
        <v>241</v>
      </c>
    </row>
    <row r="88" spans="1:47" ht="21.6" hidden="1" customHeight="1">
      <c r="A88" t="s">
        <v>366</v>
      </c>
      <c r="B88" t="s">
        <v>366</v>
      </c>
      <c r="C88" s="759"/>
      <c r="D88" s="561" t="s">
        <v>40</v>
      </c>
      <c r="E88" s="561" t="s">
        <v>142</v>
      </c>
      <c r="F88" s="561" t="s">
        <v>44</v>
      </c>
      <c r="G88" s="562" t="s">
        <v>42</v>
      </c>
      <c r="H88" s="563">
        <v>13300</v>
      </c>
      <c r="I88" s="564">
        <v>921</v>
      </c>
      <c r="J88" s="565">
        <v>14.440825190010857</v>
      </c>
      <c r="K88" s="566">
        <v>864</v>
      </c>
      <c r="L88" s="567">
        <v>6.1889250814332247E-2</v>
      </c>
      <c r="M88" s="564">
        <v>722</v>
      </c>
      <c r="N88" s="568">
        <v>0.16435185185185186</v>
      </c>
      <c r="O88" s="565">
        <v>18.421052631578949</v>
      </c>
      <c r="P88" s="564">
        <v>389</v>
      </c>
      <c r="Q88" s="569">
        <v>0.45023148148148145</v>
      </c>
      <c r="R88" s="570">
        <v>34.19023136246787</v>
      </c>
      <c r="S88" s="565" t="s">
        <v>123</v>
      </c>
      <c r="T88" s="564" t="s">
        <v>123</v>
      </c>
      <c r="U88" s="565" t="s">
        <v>123</v>
      </c>
      <c r="V88" s="566" t="s">
        <v>123</v>
      </c>
      <c r="W88" s="567" t="s">
        <v>123</v>
      </c>
      <c r="X88" s="564" t="s">
        <v>123</v>
      </c>
      <c r="Y88" s="568" t="s">
        <v>123</v>
      </c>
      <c r="Z88" s="565" t="s">
        <v>123</v>
      </c>
      <c r="AA88" s="591" t="s">
        <v>123</v>
      </c>
      <c r="AB88" s="569" t="s">
        <v>123</v>
      </c>
      <c r="AC88" s="571" t="s">
        <v>123</v>
      </c>
      <c r="AD88" s="563">
        <v>13300</v>
      </c>
      <c r="AE88" s="564">
        <v>921</v>
      </c>
      <c r="AF88" s="565">
        <v>14.440825190010857</v>
      </c>
      <c r="AG88" s="566">
        <v>864</v>
      </c>
      <c r="AH88" s="567">
        <v>6.1889250814332247E-2</v>
      </c>
      <c r="AI88" s="564">
        <v>722</v>
      </c>
      <c r="AJ88" s="568">
        <v>0.16435185185185186</v>
      </c>
      <c r="AK88" s="565">
        <v>18.421052631578949</v>
      </c>
      <c r="AL88" s="591">
        <v>389</v>
      </c>
      <c r="AM88" s="569">
        <v>0.45023148148148145</v>
      </c>
      <c r="AN88" s="570">
        <v>34.19023136246787</v>
      </c>
      <c r="AO88" s="635"/>
      <c r="AP88" s="569"/>
      <c r="AQ88" s="653"/>
      <c r="AR88" s="637"/>
      <c r="AS88" s="638"/>
      <c r="AT88" s="579"/>
      <c r="AU88" s="580"/>
    </row>
    <row r="89" spans="1:47" ht="21" hidden="1" customHeight="1">
      <c r="A89" t="s">
        <v>368</v>
      </c>
      <c r="B89" t="s">
        <v>368</v>
      </c>
      <c r="C89" s="759"/>
      <c r="D89" s="561" t="s">
        <v>52</v>
      </c>
      <c r="E89" s="561" t="s">
        <v>145</v>
      </c>
      <c r="F89" s="561" t="s">
        <v>44</v>
      </c>
      <c r="G89" s="562" t="s">
        <v>42</v>
      </c>
      <c r="H89" s="563">
        <v>8367</v>
      </c>
      <c r="I89" s="564">
        <v>485</v>
      </c>
      <c r="J89" s="565">
        <v>17.251546391752576</v>
      </c>
      <c r="K89" s="566">
        <v>435</v>
      </c>
      <c r="L89" s="567">
        <v>0.10309278350515463</v>
      </c>
      <c r="M89" s="564">
        <v>345</v>
      </c>
      <c r="N89" s="568">
        <v>0.20689655172413793</v>
      </c>
      <c r="O89" s="565">
        <v>24.252173913043478</v>
      </c>
      <c r="P89" s="564">
        <v>123</v>
      </c>
      <c r="Q89" s="569">
        <v>0.28275862068965518</v>
      </c>
      <c r="R89" s="570">
        <v>68.024390243902445</v>
      </c>
      <c r="S89" s="565" t="s">
        <v>123</v>
      </c>
      <c r="T89" s="564" t="s">
        <v>123</v>
      </c>
      <c r="U89" s="565" t="s">
        <v>123</v>
      </c>
      <c r="V89" s="566" t="s">
        <v>123</v>
      </c>
      <c r="W89" s="567" t="s">
        <v>123</v>
      </c>
      <c r="X89" s="564" t="s">
        <v>123</v>
      </c>
      <c r="Y89" s="568" t="s">
        <v>123</v>
      </c>
      <c r="Z89" s="565" t="s">
        <v>123</v>
      </c>
      <c r="AA89" s="591" t="s">
        <v>123</v>
      </c>
      <c r="AB89" s="569" t="s">
        <v>123</v>
      </c>
      <c r="AC89" s="571" t="s">
        <v>123</v>
      </c>
      <c r="AD89" s="563">
        <v>8367</v>
      </c>
      <c r="AE89" s="564">
        <v>485</v>
      </c>
      <c r="AF89" s="565">
        <v>17.251546391752576</v>
      </c>
      <c r="AG89" s="566">
        <v>435</v>
      </c>
      <c r="AH89" s="567">
        <v>0.10309278350515463</v>
      </c>
      <c r="AI89" s="564">
        <v>345</v>
      </c>
      <c r="AJ89" s="568">
        <v>0.20689655172413793</v>
      </c>
      <c r="AK89" s="565">
        <v>24.252173913043478</v>
      </c>
      <c r="AL89" s="591">
        <v>123</v>
      </c>
      <c r="AM89" s="569">
        <v>0.28275862068965518</v>
      </c>
      <c r="AN89" s="570">
        <v>68.024390243902445</v>
      </c>
      <c r="AO89" s="635"/>
      <c r="AP89" s="569"/>
      <c r="AQ89" s="653"/>
      <c r="AR89" s="637"/>
      <c r="AS89" s="638"/>
      <c r="AT89" s="579"/>
      <c r="AU89" s="580"/>
    </row>
    <row r="90" spans="1:47" ht="21" hidden="1" customHeight="1">
      <c r="A90" t="s">
        <v>370</v>
      </c>
      <c r="B90" t="s">
        <v>370</v>
      </c>
      <c r="C90" s="759"/>
      <c r="D90" s="561" t="s">
        <v>40</v>
      </c>
      <c r="E90" s="561" t="s">
        <v>57</v>
      </c>
      <c r="F90" s="561" t="s">
        <v>57</v>
      </c>
      <c r="G90" s="562" t="s">
        <v>42</v>
      </c>
      <c r="H90" s="563">
        <v>1535.99</v>
      </c>
      <c r="I90" s="564">
        <v>82</v>
      </c>
      <c r="J90" s="565">
        <v>18.731585365853658</v>
      </c>
      <c r="K90" s="566">
        <v>87</v>
      </c>
      <c r="L90" s="567">
        <v>-6.097560975609756E-2</v>
      </c>
      <c r="M90" s="564">
        <v>40</v>
      </c>
      <c r="N90" s="568">
        <v>0.54022988505747127</v>
      </c>
      <c r="O90" s="565">
        <v>38.399749999999997</v>
      </c>
      <c r="P90" s="564">
        <v>21</v>
      </c>
      <c r="Q90" s="569">
        <v>0.2413793103448276</v>
      </c>
      <c r="R90" s="570">
        <v>73.142380952380947</v>
      </c>
      <c r="S90" s="565">
        <v>1535.99</v>
      </c>
      <c r="T90" s="564">
        <v>82</v>
      </c>
      <c r="U90" s="565">
        <v>18.731585365853658</v>
      </c>
      <c r="V90" s="566">
        <v>87</v>
      </c>
      <c r="W90" s="567">
        <v>-6.097560975609756E-2</v>
      </c>
      <c r="X90" s="564">
        <v>40</v>
      </c>
      <c r="Y90" s="568">
        <v>0.54022988505747127</v>
      </c>
      <c r="Z90" s="565">
        <v>38.399749999999997</v>
      </c>
      <c r="AA90" s="591">
        <v>21</v>
      </c>
      <c r="AB90" s="569">
        <v>0.2413793103448276</v>
      </c>
      <c r="AC90" s="571">
        <v>73.142380952380947</v>
      </c>
      <c r="AD90" s="563" t="s">
        <v>123</v>
      </c>
      <c r="AE90" s="564" t="s">
        <v>123</v>
      </c>
      <c r="AF90" s="565" t="s">
        <v>123</v>
      </c>
      <c r="AG90" s="566" t="s">
        <v>123</v>
      </c>
      <c r="AH90" s="567" t="s">
        <v>123</v>
      </c>
      <c r="AI90" s="564" t="s">
        <v>123</v>
      </c>
      <c r="AJ90" s="568" t="s">
        <v>123</v>
      </c>
      <c r="AK90" s="565" t="s">
        <v>123</v>
      </c>
      <c r="AL90" s="591" t="s">
        <v>123</v>
      </c>
      <c r="AM90" s="569" t="s">
        <v>123</v>
      </c>
      <c r="AN90" s="570" t="s">
        <v>123</v>
      </c>
      <c r="AO90" s="635"/>
      <c r="AP90" s="569"/>
      <c r="AQ90" s="653"/>
      <c r="AR90" s="637"/>
      <c r="AS90" s="638"/>
      <c r="AT90" s="579"/>
      <c r="AU90" s="580"/>
    </row>
    <row r="91" spans="1:47" ht="21" hidden="1" customHeight="1">
      <c r="A91" t="s">
        <v>372</v>
      </c>
      <c r="B91" t="s">
        <v>372</v>
      </c>
      <c r="C91" s="759"/>
      <c r="D91" s="561" t="s">
        <v>52</v>
      </c>
      <c r="E91" s="561" t="s">
        <v>121</v>
      </c>
      <c r="F91" s="561" t="s">
        <v>44</v>
      </c>
      <c r="G91" s="562" t="s">
        <v>42</v>
      </c>
      <c r="H91" s="563">
        <v>1932.21</v>
      </c>
      <c r="I91" s="564">
        <v>15</v>
      </c>
      <c r="J91" s="565">
        <v>128.81399999999999</v>
      </c>
      <c r="K91" s="566">
        <v>17</v>
      </c>
      <c r="L91" s="567">
        <v>-0.13333333333333333</v>
      </c>
      <c r="M91" s="564">
        <v>13</v>
      </c>
      <c r="N91" s="568">
        <v>0.23529411764705882</v>
      </c>
      <c r="O91" s="565">
        <v>148.63153846153847</v>
      </c>
      <c r="P91" s="564">
        <v>12</v>
      </c>
      <c r="Q91" s="569">
        <v>0.70588235294117652</v>
      </c>
      <c r="R91" s="570">
        <v>161.01750000000001</v>
      </c>
      <c r="S91" s="565" t="s">
        <v>123</v>
      </c>
      <c r="T91" s="564" t="s">
        <v>123</v>
      </c>
      <c r="U91" s="565" t="s">
        <v>123</v>
      </c>
      <c r="V91" s="566" t="s">
        <v>123</v>
      </c>
      <c r="W91" s="567" t="s">
        <v>123</v>
      </c>
      <c r="X91" s="564" t="s">
        <v>123</v>
      </c>
      <c r="Y91" s="568" t="s">
        <v>123</v>
      </c>
      <c r="Z91" s="565" t="s">
        <v>123</v>
      </c>
      <c r="AA91" s="591" t="s">
        <v>123</v>
      </c>
      <c r="AB91" s="569" t="s">
        <v>123</v>
      </c>
      <c r="AC91" s="571" t="s">
        <v>123</v>
      </c>
      <c r="AD91" s="563">
        <v>1932.21</v>
      </c>
      <c r="AE91" s="564">
        <v>15</v>
      </c>
      <c r="AF91" s="565">
        <v>128.81399999999999</v>
      </c>
      <c r="AG91" s="566">
        <v>17</v>
      </c>
      <c r="AH91" s="567">
        <v>-0.13333333333333333</v>
      </c>
      <c r="AI91" s="564">
        <v>13</v>
      </c>
      <c r="AJ91" s="568">
        <v>0.23529411764705882</v>
      </c>
      <c r="AK91" s="565">
        <v>148.63153846153847</v>
      </c>
      <c r="AL91" s="591">
        <v>12</v>
      </c>
      <c r="AM91" s="569">
        <v>0.70588235294117652</v>
      </c>
      <c r="AN91" s="570">
        <v>161.01750000000001</v>
      </c>
      <c r="AO91" s="635"/>
      <c r="AP91" s="569"/>
      <c r="AQ91" s="653"/>
      <c r="AR91" s="637"/>
      <c r="AS91" s="638"/>
      <c r="AT91" s="579"/>
      <c r="AU91" s="580"/>
    </row>
    <row r="92" spans="1:47" ht="21" hidden="1" customHeight="1">
      <c r="A92" t="s">
        <v>374</v>
      </c>
      <c r="B92" t="s">
        <v>374</v>
      </c>
      <c r="C92" s="759"/>
      <c r="D92" s="561" t="s">
        <v>40</v>
      </c>
      <c r="E92" s="561" t="s">
        <v>142</v>
      </c>
      <c r="F92" s="561" t="s">
        <v>44</v>
      </c>
      <c r="G92" s="562" t="s">
        <v>60</v>
      </c>
      <c r="H92" s="563">
        <v>36153.379999999997</v>
      </c>
      <c r="I92" s="564">
        <v>1033</v>
      </c>
      <c r="J92" s="565">
        <v>34.998431752178121</v>
      </c>
      <c r="K92" s="566">
        <v>978</v>
      </c>
      <c r="L92" s="567">
        <v>5.324298160696999E-2</v>
      </c>
      <c r="M92" s="564">
        <v>773</v>
      </c>
      <c r="N92" s="568">
        <v>0.20961145194274028</v>
      </c>
      <c r="O92" s="565">
        <v>46.770219922380335</v>
      </c>
      <c r="P92" s="564">
        <v>431</v>
      </c>
      <c r="Q92" s="569">
        <v>0.44069529652351735</v>
      </c>
      <c r="R92" s="570">
        <v>83.882552204176335</v>
      </c>
      <c r="S92" s="565" t="s">
        <v>123</v>
      </c>
      <c r="T92" s="564" t="s">
        <v>123</v>
      </c>
      <c r="U92" s="565" t="s">
        <v>123</v>
      </c>
      <c r="V92" s="566" t="s">
        <v>123</v>
      </c>
      <c r="W92" s="567" t="s">
        <v>123</v>
      </c>
      <c r="X92" s="564" t="s">
        <v>123</v>
      </c>
      <c r="Y92" s="568" t="s">
        <v>123</v>
      </c>
      <c r="Z92" s="565" t="s">
        <v>123</v>
      </c>
      <c r="AA92" s="591" t="s">
        <v>123</v>
      </c>
      <c r="AB92" s="569" t="s">
        <v>123</v>
      </c>
      <c r="AC92" s="571" t="s">
        <v>123</v>
      </c>
      <c r="AD92" s="563">
        <v>36153.379999999997</v>
      </c>
      <c r="AE92" s="564">
        <v>1033</v>
      </c>
      <c r="AF92" s="565">
        <v>34.998431752178121</v>
      </c>
      <c r="AG92" s="566">
        <v>978</v>
      </c>
      <c r="AH92" s="567">
        <v>5.324298160696999E-2</v>
      </c>
      <c r="AI92" s="564">
        <v>773</v>
      </c>
      <c r="AJ92" s="568">
        <v>0.20961145194274028</v>
      </c>
      <c r="AK92" s="565">
        <v>46.770219922380335</v>
      </c>
      <c r="AL92" s="591">
        <v>431</v>
      </c>
      <c r="AM92" s="569">
        <v>0.44069529652351735</v>
      </c>
      <c r="AN92" s="570">
        <v>83.882552204176335</v>
      </c>
      <c r="AO92" s="635"/>
      <c r="AP92" s="569"/>
      <c r="AQ92" s="653"/>
      <c r="AR92" s="637"/>
      <c r="AS92" s="638"/>
      <c r="AT92" s="579"/>
      <c r="AU92" s="580"/>
    </row>
    <row r="93" spans="1:47" ht="21" hidden="1" customHeight="1">
      <c r="A93" t="s">
        <v>376</v>
      </c>
      <c r="B93" t="s">
        <v>376</v>
      </c>
      <c r="C93" s="759"/>
      <c r="D93" s="561" t="s">
        <v>52</v>
      </c>
      <c r="E93" s="561" t="s">
        <v>145</v>
      </c>
      <c r="F93" s="561" t="s">
        <v>44</v>
      </c>
      <c r="G93" s="562" t="s">
        <v>60</v>
      </c>
      <c r="H93" s="563">
        <v>23008.14</v>
      </c>
      <c r="I93" s="564">
        <v>838</v>
      </c>
      <c r="J93" s="565">
        <v>27.456014319809068</v>
      </c>
      <c r="K93" s="566">
        <v>795</v>
      </c>
      <c r="L93" s="567">
        <v>5.1312649164677801E-2</v>
      </c>
      <c r="M93" s="564">
        <v>604</v>
      </c>
      <c r="N93" s="568">
        <v>0.24025157232704403</v>
      </c>
      <c r="O93" s="565">
        <v>38.092947019867552</v>
      </c>
      <c r="P93" s="564">
        <v>265</v>
      </c>
      <c r="Q93" s="569">
        <v>0.33333333333333331</v>
      </c>
      <c r="R93" s="570">
        <v>86.823169811320753</v>
      </c>
      <c r="S93" s="565" t="s">
        <v>123</v>
      </c>
      <c r="T93" s="564" t="s">
        <v>123</v>
      </c>
      <c r="U93" s="565" t="s">
        <v>123</v>
      </c>
      <c r="V93" s="566" t="s">
        <v>123</v>
      </c>
      <c r="W93" s="567" t="s">
        <v>123</v>
      </c>
      <c r="X93" s="564" t="s">
        <v>123</v>
      </c>
      <c r="Y93" s="568" t="s">
        <v>123</v>
      </c>
      <c r="Z93" s="565" t="s">
        <v>123</v>
      </c>
      <c r="AA93" s="591" t="s">
        <v>123</v>
      </c>
      <c r="AB93" s="569" t="s">
        <v>123</v>
      </c>
      <c r="AC93" s="571" t="s">
        <v>123</v>
      </c>
      <c r="AD93" s="563">
        <v>23008.14</v>
      </c>
      <c r="AE93" s="564">
        <v>838</v>
      </c>
      <c r="AF93" s="565">
        <v>27.456014319809068</v>
      </c>
      <c r="AG93" s="566">
        <v>795</v>
      </c>
      <c r="AH93" s="567">
        <v>5.1312649164677801E-2</v>
      </c>
      <c r="AI93" s="564">
        <v>604</v>
      </c>
      <c r="AJ93" s="568">
        <v>0.24025157232704403</v>
      </c>
      <c r="AK93" s="565">
        <v>38.092947019867552</v>
      </c>
      <c r="AL93" s="591">
        <v>265</v>
      </c>
      <c r="AM93" s="569">
        <v>0.33333333333333331</v>
      </c>
      <c r="AN93" s="570">
        <v>86.823169811320753</v>
      </c>
      <c r="AO93" s="635"/>
      <c r="AP93" s="569"/>
      <c r="AQ93" s="653"/>
      <c r="AR93" s="637"/>
      <c r="AS93" s="638"/>
      <c r="AT93" s="579"/>
      <c r="AU93" s="580"/>
    </row>
    <row r="94" spans="1:47" ht="21" hidden="1" customHeight="1">
      <c r="A94" t="s">
        <v>378</v>
      </c>
      <c r="B94" t="s">
        <v>378</v>
      </c>
      <c r="C94" s="760"/>
      <c r="D94" s="584" t="s">
        <v>40</v>
      </c>
      <c r="E94" s="584" t="s">
        <v>57</v>
      </c>
      <c r="F94" s="584" t="s">
        <v>57</v>
      </c>
      <c r="G94" s="585" t="s">
        <v>60</v>
      </c>
      <c r="H94" s="563">
        <v>211775.22999999998</v>
      </c>
      <c r="I94" s="581">
        <v>13199</v>
      </c>
      <c r="J94" s="582">
        <v>16.044793544965525</v>
      </c>
      <c r="K94" s="566">
        <v>6323</v>
      </c>
      <c r="L94" s="567">
        <v>0.52094855670884155</v>
      </c>
      <c r="M94" s="564">
        <v>2392</v>
      </c>
      <c r="N94" s="568">
        <v>0.62169856080974217</v>
      </c>
      <c r="O94" s="586">
        <v>88.534795150501665</v>
      </c>
      <c r="P94" s="564">
        <v>607</v>
      </c>
      <c r="Q94" s="569">
        <v>9.5998734777795344E-2</v>
      </c>
      <c r="R94" s="570">
        <v>348.88835255354201</v>
      </c>
      <c r="S94" s="565">
        <v>211775.22999999998</v>
      </c>
      <c r="T94" s="564">
        <v>13199</v>
      </c>
      <c r="U94" s="565">
        <v>16.044793544965525</v>
      </c>
      <c r="V94" s="566">
        <v>6323</v>
      </c>
      <c r="W94" s="567">
        <v>0.52094855670884155</v>
      </c>
      <c r="X94" s="564">
        <v>2392</v>
      </c>
      <c r="Y94" s="568">
        <v>0.62169856080974217</v>
      </c>
      <c r="Z94" s="586">
        <v>88.534795150501665</v>
      </c>
      <c r="AA94" s="591">
        <v>607</v>
      </c>
      <c r="AB94" s="569">
        <v>9.5998734777795344E-2</v>
      </c>
      <c r="AC94" s="571">
        <v>348.88835255354201</v>
      </c>
      <c r="AD94" s="563" t="s">
        <v>123</v>
      </c>
      <c r="AE94" s="564" t="s">
        <v>123</v>
      </c>
      <c r="AF94" s="565" t="s">
        <v>123</v>
      </c>
      <c r="AG94" s="566" t="s">
        <v>123</v>
      </c>
      <c r="AH94" s="567" t="s">
        <v>123</v>
      </c>
      <c r="AI94" s="564" t="s">
        <v>123</v>
      </c>
      <c r="AJ94" s="568" t="s">
        <v>123</v>
      </c>
      <c r="AK94" s="586" t="s">
        <v>123</v>
      </c>
      <c r="AL94" s="591" t="s">
        <v>123</v>
      </c>
      <c r="AM94" s="569" t="s">
        <v>123</v>
      </c>
      <c r="AN94" s="570" t="s">
        <v>123</v>
      </c>
      <c r="AO94" s="635"/>
      <c r="AP94" s="654"/>
      <c r="AQ94" s="653"/>
      <c r="AR94" s="641"/>
      <c r="AS94" s="638"/>
      <c r="AT94" s="579"/>
      <c r="AU94" s="580"/>
    </row>
    <row r="95" spans="1:47" ht="49.95" customHeight="1">
      <c r="C95" s="758" t="s">
        <v>242</v>
      </c>
      <c r="D95" s="541"/>
      <c r="E95" s="541"/>
      <c r="F95" s="541"/>
      <c r="G95" s="542" t="s">
        <v>139</v>
      </c>
      <c r="H95" s="543">
        <v>109702.20999999999</v>
      </c>
      <c r="I95" s="544">
        <v>4169</v>
      </c>
      <c r="J95" s="545">
        <v>26.31379467498201</v>
      </c>
      <c r="K95" s="546">
        <v>3653</v>
      </c>
      <c r="L95" s="547">
        <v>0.12377068841448789</v>
      </c>
      <c r="M95" s="544">
        <v>2639</v>
      </c>
      <c r="N95" s="548">
        <v>0.27758007117437722</v>
      </c>
      <c r="O95" s="549">
        <v>41.569613489958314</v>
      </c>
      <c r="P95" s="544">
        <v>1001</v>
      </c>
      <c r="Q95" s="548">
        <v>0.27402135231316727</v>
      </c>
      <c r="R95" s="550">
        <v>109.59261738261738</v>
      </c>
      <c r="S95" s="545">
        <v>30614.04</v>
      </c>
      <c r="T95" s="544">
        <v>1437</v>
      </c>
      <c r="U95" s="545">
        <v>21.304133611691025</v>
      </c>
      <c r="V95" s="546">
        <v>1086</v>
      </c>
      <c r="W95" s="547">
        <v>0.24425887265135698</v>
      </c>
      <c r="X95" s="544">
        <v>716</v>
      </c>
      <c r="Y95" s="548">
        <v>0.3406998158379374</v>
      </c>
      <c r="Z95" s="549">
        <v>42.75703910614525</v>
      </c>
      <c r="AA95" s="629">
        <v>229</v>
      </c>
      <c r="AB95" s="548">
        <v>0.21086556169429096</v>
      </c>
      <c r="AC95" s="551">
        <v>133.68576419213974</v>
      </c>
      <c r="AD95" s="552">
        <v>79088.17</v>
      </c>
      <c r="AE95" s="553">
        <v>2732</v>
      </c>
      <c r="AF95" s="549">
        <v>28.948817715959002</v>
      </c>
      <c r="AG95" s="546">
        <v>2567</v>
      </c>
      <c r="AH95" s="547">
        <v>6.0395314787701319E-2</v>
      </c>
      <c r="AI95" s="553">
        <v>1923</v>
      </c>
      <c r="AJ95" s="548">
        <v>0.25087650954421503</v>
      </c>
      <c r="AK95" s="549">
        <v>41.127493499739991</v>
      </c>
      <c r="AL95" s="554">
        <v>772</v>
      </c>
      <c r="AM95" s="548">
        <v>0.30074016361511491</v>
      </c>
      <c r="AN95" s="550">
        <v>102.44581606217616</v>
      </c>
      <c r="AO95" s="630">
        <v>0.91879999999999995</v>
      </c>
      <c r="AP95" s="555">
        <v>0.71519999999999995</v>
      </c>
      <c r="AQ95" s="631">
        <v>0.7601</v>
      </c>
      <c r="AR95" s="632">
        <v>0.72470000000000001</v>
      </c>
      <c r="AS95" s="633">
        <v>2.96</v>
      </c>
      <c r="AT95" s="583"/>
      <c r="AU95" s="580"/>
    </row>
    <row r="96" spans="1:47" ht="21" hidden="1" customHeight="1">
      <c r="A96" t="s">
        <v>451</v>
      </c>
      <c r="B96" t="s">
        <v>366</v>
      </c>
      <c r="C96" s="759"/>
      <c r="D96" s="561" t="s">
        <v>40</v>
      </c>
      <c r="E96" s="561" t="s">
        <v>142</v>
      </c>
      <c r="F96" s="561" t="s">
        <v>44</v>
      </c>
      <c r="G96" s="562" t="s">
        <v>42</v>
      </c>
      <c r="H96" s="563">
        <v>8243.89</v>
      </c>
      <c r="I96" s="564">
        <v>455</v>
      </c>
      <c r="J96" s="565">
        <v>18.118439560439558</v>
      </c>
      <c r="K96" s="566">
        <v>436</v>
      </c>
      <c r="L96" s="567">
        <v>4.1758241758241756E-2</v>
      </c>
      <c r="M96" s="564">
        <v>325</v>
      </c>
      <c r="N96" s="568">
        <v>0.25458715596330272</v>
      </c>
      <c r="O96" s="565">
        <v>25.365815384615384</v>
      </c>
      <c r="P96" s="564">
        <v>158</v>
      </c>
      <c r="Q96" s="569">
        <v>0.36238532110091742</v>
      </c>
      <c r="R96" s="570">
        <v>52.176518987341765</v>
      </c>
      <c r="S96" s="565" t="s">
        <v>123</v>
      </c>
      <c r="T96" s="564" t="s">
        <v>123</v>
      </c>
      <c r="U96" s="565" t="s">
        <v>123</v>
      </c>
      <c r="V96" s="566" t="s">
        <v>123</v>
      </c>
      <c r="W96" s="567" t="s">
        <v>123</v>
      </c>
      <c r="X96" s="564" t="s">
        <v>123</v>
      </c>
      <c r="Y96" s="568" t="s">
        <v>123</v>
      </c>
      <c r="Z96" s="565" t="s">
        <v>123</v>
      </c>
      <c r="AA96" s="591" t="s">
        <v>123</v>
      </c>
      <c r="AB96" s="569" t="s">
        <v>123</v>
      </c>
      <c r="AC96" s="571" t="s">
        <v>123</v>
      </c>
      <c r="AD96" s="563">
        <v>8243.89</v>
      </c>
      <c r="AE96" s="564">
        <v>455</v>
      </c>
      <c r="AF96" s="565">
        <v>18.118439560439558</v>
      </c>
      <c r="AG96" s="566">
        <v>436</v>
      </c>
      <c r="AH96" s="567">
        <v>4.1758241758241756E-2</v>
      </c>
      <c r="AI96" s="564">
        <v>325</v>
      </c>
      <c r="AJ96" s="568">
        <v>0.25458715596330272</v>
      </c>
      <c r="AK96" s="565">
        <v>25.365815384615384</v>
      </c>
      <c r="AL96" s="574">
        <v>158</v>
      </c>
      <c r="AM96" s="569">
        <v>0.36238532110091742</v>
      </c>
      <c r="AN96" s="570">
        <v>52.176518987341765</v>
      </c>
      <c r="AO96" s="635"/>
      <c r="AP96" s="575"/>
      <c r="AQ96" s="636"/>
      <c r="AR96" s="637"/>
      <c r="AS96" s="638"/>
      <c r="AT96" s="579"/>
      <c r="AU96" s="580"/>
    </row>
    <row r="97" spans="1:47" ht="21" hidden="1" customHeight="1">
      <c r="A97" t="s">
        <v>452</v>
      </c>
      <c r="B97" t="s">
        <v>368</v>
      </c>
      <c r="C97" s="759"/>
      <c r="D97" s="561" t="s">
        <v>52</v>
      </c>
      <c r="E97" s="561" t="s">
        <v>145</v>
      </c>
      <c r="F97" s="561" t="s">
        <v>44</v>
      </c>
      <c r="G97" s="562" t="s">
        <v>42</v>
      </c>
      <c r="H97" s="563">
        <v>14715.17</v>
      </c>
      <c r="I97" s="564">
        <v>699</v>
      </c>
      <c r="J97" s="565">
        <v>21.051745350500717</v>
      </c>
      <c r="K97" s="566">
        <v>605</v>
      </c>
      <c r="L97" s="567">
        <v>0.13447782546494993</v>
      </c>
      <c r="M97" s="564">
        <v>457</v>
      </c>
      <c r="N97" s="568">
        <v>0.24462809917355371</v>
      </c>
      <c r="O97" s="565">
        <v>32.199496717724287</v>
      </c>
      <c r="P97" s="564">
        <v>161</v>
      </c>
      <c r="Q97" s="569">
        <v>0.26611570247933886</v>
      </c>
      <c r="R97" s="570">
        <v>91.398571428571429</v>
      </c>
      <c r="S97" s="565" t="s">
        <v>123</v>
      </c>
      <c r="T97" s="564" t="s">
        <v>123</v>
      </c>
      <c r="U97" s="565" t="s">
        <v>123</v>
      </c>
      <c r="V97" s="566" t="s">
        <v>123</v>
      </c>
      <c r="W97" s="567" t="s">
        <v>123</v>
      </c>
      <c r="X97" s="564" t="s">
        <v>123</v>
      </c>
      <c r="Y97" s="568" t="s">
        <v>123</v>
      </c>
      <c r="Z97" s="565" t="s">
        <v>123</v>
      </c>
      <c r="AA97" s="591" t="s">
        <v>123</v>
      </c>
      <c r="AB97" s="569" t="s">
        <v>123</v>
      </c>
      <c r="AC97" s="571" t="s">
        <v>123</v>
      </c>
      <c r="AD97" s="563">
        <v>14715.17</v>
      </c>
      <c r="AE97" s="564">
        <v>699</v>
      </c>
      <c r="AF97" s="565">
        <v>21.051745350500717</v>
      </c>
      <c r="AG97" s="566">
        <v>605</v>
      </c>
      <c r="AH97" s="567">
        <v>0.13447782546494993</v>
      </c>
      <c r="AI97" s="564">
        <v>457</v>
      </c>
      <c r="AJ97" s="568">
        <v>0.24462809917355371</v>
      </c>
      <c r="AK97" s="565">
        <v>32.199496717724287</v>
      </c>
      <c r="AL97" s="574">
        <v>161</v>
      </c>
      <c r="AM97" s="569">
        <v>0.26611570247933886</v>
      </c>
      <c r="AN97" s="570">
        <v>91.398571428571429</v>
      </c>
      <c r="AO97" s="635"/>
      <c r="AP97" s="575"/>
      <c r="AQ97" s="636"/>
      <c r="AR97" s="637"/>
      <c r="AS97" s="638"/>
      <c r="AT97" s="579"/>
      <c r="AU97" s="580"/>
    </row>
    <row r="98" spans="1:47" ht="21" hidden="1" customHeight="1">
      <c r="A98" t="s">
        <v>453</v>
      </c>
      <c r="B98" t="s">
        <v>370</v>
      </c>
      <c r="C98" s="759"/>
      <c r="D98" s="561" t="s">
        <v>40</v>
      </c>
      <c r="E98" s="561" t="s">
        <v>57</v>
      </c>
      <c r="F98" s="561" t="s">
        <v>57</v>
      </c>
      <c r="G98" s="562" t="s">
        <v>42</v>
      </c>
      <c r="H98" s="563">
        <v>0</v>
      </c>
      <c r="I98" s="564">
        <v>0</v>
      </c>
      <c r="J98" s="565" t="s">
        <v>123</v>
      </c>
      <c r="K98" s="566">
        <v>15</v>
      </c>
      <c r="L98" s="567" t="s">
        <v>123</v>
      </c>
      <c r="M98" s="564">
        <v>9</v>
      </c>
      <c r="N98" s="568">
        <v>0.4</v>
      </c>
      <c r="O98" s="565">
        <v>0</v>
      </c>
      <c r="P98" s="564">
        <v>1</v>
      </c>
      <c r="Q98" s="569">
        <v>6.6666666666666666E-2</v>
      </c>
      <c r="R98" s="570">
        <v>0</v>
      </c>
      <c r="S98" s="565">
        <v>0</v>
      </c>
      <c r="T98" s="564">
        <v>0</v>
      </c>
      <c r="U98" s="565" t="s">
        <v>123</v>
      </c>
      <c r="V98" s="566">
        <v>15</v>
      </c>
      <c r="W98" s="567" t="s">
        <v>123</v>
      </c>
      <c r="X98" s="564">
        <v>9</v>
      </c>
      <c r="Y98" s="568">
        <v>0.4</v>
      </c>
      <c r="Z98" s="565">
        <v>0</v>
      </c>
      <c r="AA98" s="591">
        <v>1</v>
      </c>
      <c r="AB98" s="569">
        <v>6.6666666666666666E-2</v>
      </c>
      <c r="AC98" s="571">
        <v>0</v>
      </c>
      <c r="AD98" s="563" t="s">
        <v>123</v>
      </c>
      <c r="AE98" s="564" t="s">
        <v>123</v>
      </c>
      <c r="AF98" s="565" t="s">
        <v>123</v>
      </c>
      <c r="AG98" s="566" t="s">
        <v>123</v>
      </c>
      <c r="AH98" s="567" t="s">
        <v>123</v>
      </c>
      <c r="AI98" s="564" t="s">
        <v>123</v>
      </c>
      <c r="AJ98" s="568" t="s">
        <v>123</v>
      </c>
      <c r="AK98" s="565" t="s">
        <v>123</v>
      </c>
      <c r="AL98" s="574" t="s">
        <v>123</v>
      </c>
      <c r="AM98" s="569" t="s">
        <v>123</v>
      </c>
      <c r="AN98" s="570" t="s">
        <v>123</v>
      </c>
      <c r="AO98" s="635"/>
      <c r="AP98" s="575"/>
      <c r="AQ98" s="636"/>
      <c r="AR98" s="637"/>
      <c r="AS98" s="638"/>
      <c r="AT98" s="579"/>
      <c r="AU98" s="580"/>
    </row>
    <row r="99" spans="1:47" ht="21" hidden="1" customHeight="1">
      <c r="A99" t="s">
        <v>454</v>
      </c>
      <c r="B99" t="s">
        <v>372</v>
      </c>
      <c r="C99" s="759"/>
      <c r="D99" s="561" t="s">
        <v>52</v>
      </c>
      <c r="E99" s="561" t="s">
        <v>121</v>
      </c>
      <c r="F99" s="561" t="s">
        <v>44</v>
      </c>
      <c r="G99" s="562" t="s">
        <v>42</v>
      </c>
      <c r="H99" s="563">
        <v>0</v>
      </c>
      <c r="I99" s="564">
        <v>0</v>
      </c>
      <c r="J99" s="565" t="s">
        <v>123</v>
      </c>
      <c r="K99" s="566">
        <v>7</v>
      </c>
      <c r="L99" s="567" t="s">
        <v>123</v>
      </c>
      <c r="M99" s="564">
        <v>4</v>
      </c>
      <c r="N99" s="568">
        <v>0.42857142857142855</v>
      </c>
      <c r="O99" s="565">
        <v>0</v>
      </c>
      <c r="P99" s="564">
        <v>0</v>
      </c>
      <c r="Q99" s="569">
        <v>0</v>
      </c>
      <c r="R99" s="570" t="s">
        <v>123</v>
      </c>
      <c r="S99" s="565" t="s">
        <v>123</v>
      </c>
      <c r="T99" s="564" t="s">
        <v>123</v>
      </c>
      <c r="U99" s="565" t="s">
        <v>123</v>
      </c>
      <c r="V99" s="566" t="s">
        <v>123</v>
      </c>
      <c r="W99" s="567" t="s">
        <v>123</v>
      </c>
      <c r="X99" s="564" t="s">
        <v>123</v>
      </c>
      <c r="Y99" s="568" t="s">
        <v>123</v>
      </c>
      <c r="Z99" s="565" t="s">
        <v>123</v>
      </c>
      <c r="AA99" s="591" t="s">
        <v>123</v>
      </c>
      <c r="AB99" s="569" t="s">
        <v>123</v>
      </c>
      <c r="AC99" s="571" t="s">
        <v>123</v>
      </c>
      <c r="AD99" s="563">
        <v>0</v>
      </c>
      <c r="AE99" s="564">
        <v>0</v>
      </c>
      <c r="AF99" s="565" t="s">
        <v>123</v>
      </c>
      <c r="AG99" s="566">
        <v>7</v>
      </c>
      <c r="AH99" s="567" t="s">
        <v>123</v>
      </c>
      <c r="AI99" s="564">
        <v>4</v>
      </c>
      <c r="AJ99" s="568">
        <v>0.42857142857142855</v>
      </c>
      <c r="AK99" s="565">
        <v>0</v>
      </c>
      <c r="AL99" s="574">
        <v>0</v>
      </c>
      <c r="AM99" s="569">
        <v>0</v>
      </c>
      <c r="AN99" s="570" t="s">
        <v>123</v>
      </c>
      <c r="AO99" s="635"/>
      <c r="AP99" s="575"/>
      <c r="AQ99" s="636"/>
      <c r="AR99" s="637"/>
      <c r="AS99" s="638"/>
      <c r="AT99" s="579"/>
      <c r="AU99" s="580"/>
    </row>
    <row r="100" spans="1:47" ht="21" hidden="1" customHeight="1">
      <c r="A100" t="s">
        <v>455</v>
      </c>
      <c r="B100" t="s">
        <v>374</v>
      </c>
      <c r="C100" s="759"/>
      <c r="D100" s="561" t="s">
        <v>40</v>
      </c>
      <c r="E100" s="561" t="s">
        <v>142</v>
      </c>
      <c r="F100" s="561" t="s">
        <v>44</v>
      </c>
      <c r="G100" s="562" t="s">
        <v>60</v>
      </c>
      <c r="H100" s="563">
        <v>24127.33</v>
      </c>
      <c r="I100" s="564">
        <v>623</v>
      </c>
      <c r="J100" s="565">
        <v>38.727656500802574</v>
      </c>
      <c r="K100" s="566">
        <v>643</v>
      </c>
      <c r="L100" s="567">
        <v>-3.2102728731942212E-2</v>
      </c>
      <c r="M100" s="564">
        <v>477</v>
      </c>
      <c r="N100" s="568">
        <v>0.25816485225505442</v>
      </c>
      <c r="O100" s="565">
        <v>50.581404612159332</v>
      </c>
      <c r="P100" s="564">
        <v>191</v>
      </c>
      <c r="Q100" s="569">
        <v>0.29704510108864696</v>
      </c>
      <c r="R100" s="570">
        <v>126.3210994764398</v>
      </c>
      <c r="S100" s="565" t="s">
        <v>123</v>
      </c>
      <c r="T100" s="564" t="s">
        <v>123</v>
      </c>
      <c r="U100" s="565" t="s">
        <v>123</v>
      </c>
      <c r="V100" s="566" t="s">
        <v>123</v>
      </c>
      <c r="W100" s="567" t="s">
        <v>123</v>
      </c>
      <c r="X100" s="564" t="s">
        <v>123</v>
      </c>
      <c r="Y100" s="568" t="s">
        <v>123</v>
      </c>
      <c r="Z100" s="565" t="s">
        <v>123</v>
      </c>
      <c r="AA100" s="591" t="s">
        <v>123</v>
      </c>
      <c r="AB100" s="569" t="s">
        <v>123</v>
      </c>
      <c r="AC100" s="571" t="s">
        <v>123</v>
      </c>
      <c r="AD100" s="563">
        <v>24127.33</v>
      </c>
      <c r="AE100" s="564">
        <v>623</v>
      </c>
      <c r="AF100" s="565">
        <v>38.727656500802574</v>
      </c>
      <c r="AG100" s="566">
        <v>643</v>
      </c>
      <c r="AH100" s="567">
        <v>-3.2102728731942212E-2</v>
      </c>
      <c r="AI100" s="564">
        <v>477</v>
      </c>
      <c r="AJ100" s="568">
        <v>0.25816485225505442</v>
      </c>
      <c r="AK100" s="565">
        <v>50.581404612159332</v>
      </c>
      <c r="AL100" s="574">
        <v>191</v>
      </c>
      <c r="AM100" s="569">
        <v>0.29704510108864696</v>
      </c>
      <c r="AN100" s="570">
        <v>126.3210994764398</v>
      </c>
      <c r="AO100" s="635"/>
      <c r="AP100" s="575"/>
      <c r="AQ100" s="636"/>
      <c r="AR100" s="637"/>
      <c r="AS100" s="638"/>
      <c r="AT100" s="579"/>
      <c r="AU100" s="580"/>
    </row>
    <row r="101" spans="1:47" ht="21" hidden="1" customHeight="1">
      <c r="A101" t="s">
        <v>456</v>
      </c>
      <c r="B101" t="s">
        <v>376</v>
      </c>
      <c r="C101" s="759"/>
      <c r="D101" s="561" t="s">
        <v>52</v>
      </c>
      <c r="E101" s="561" t="s">
        <v>145</v>
      </c>
      <c r="F101" s="561" t="s">
        <v>44</v>
      </c>
      <c r="G101" s="562" t="s">
        <v>60</v>
      </c>
      <c r="H101" s="563">
        <v>32001.78</v>
      </c>
      <c r="I101" s="564">
        <v>955</v>
      </c>
      <c r="J101" s="565">
        <v>33.509717277486907</v>
      </c>
      <c r="K101" s="566">
        <v>876</v>
      </c>
      <c r="L101" s="567">
        <v>8.2722513089005231E-2</v>
      </c>
      <c r="M101" s="564">
        <v>660</v>
      </c>
      <c r="N101" s="568">
        <v>0.24657534246575341</v>
      </c>
      <c r="O101" s="565">
        <v>48.487545454545455</v>
      </c>
      <c r="P101" s="564">
        <v>262</v>
      </c>
      <c r="Q101" s="569">
        <v>0.29908675799086759</v>
      </c>
      <c r="R101" s="570">
        <v>122.14419847328244</v>
      </c>
      <c r="S101" s="565" t="s">
        <v>123</v>
      </c>
      <c r="T101" s="564" t="s">
        <v>123</v>
      </c>
      <c r="U101" s="565" t="s">
        <v>123</v>
      </c>
      <c r="V101" s="566" t="s">
        <v>123</v>
      </c>
      <c r="W101" s="567" t="s">
        <v>123</v>
      </c>
      <c r="X101" s="564" t="s">
        <v>123</v>
      </c>
      <c r="Y101" s="568" t="s">
        <v>123</v>
      </c>
      <c r="Z101" s="565" t="s">
        <v>123</v>
      </c>
      <c r="AA101" s="591" t="s">
        <v>123</v>
      </c>
      <c r="AB101" s="569" t="s">
        <v>123</v>
      </c>
      <c r="AC101" s="571" t="s">
        <v>123</v>
      </c>
      <c r="AD101" s="563">
        <v>32001.78</v>
      </c>
      <c r="AE101" s="564">
        <v>955</v>
      </c>
      <c r="AF101" s="565">
        <v>33.509717277486907</v>
      </c>
      <c r="AG101" s="566">
        <v>876</v>
      </c>
      <c r="AH101" s="567">
        <v>8.2722513089005231E-2</v>
      </c>
      <c r="AI101" s="564">
        <v>660</v>
      </c>
      <c r="AJ101" s="568">
        <v>0.24657534246575341</v>
      </c>
      <c r="AK101" s="565">
        <v>48.487545454545455</v>
      </c>
      <c r="AL101" s="574">
        <v>262</v>
      </c>
      <c r="AM101" s="569">
        <v>0.29908675799086759</v>
      </c>
      <c r="AN101" s="570">
        <v>122.14419847328244</v>
      </c>
      <c r="AO101" s="635"/>
      <c r="AP101" s="575"/>
      <c r="AQ101" s="636"/>
      <c r="AR101" s="637"/>
      <c r="AS101" s="638"/>
      <c r="AT101" s="579"/>
      <c r="AU101" s="580"/>
    </row>
    <row r="102" spans="1:47" ht="21" hidden="1" customHeight="1">
      <c r="A102" t="s">
        <v>457</v>
      </c>
      <c r="B102" t="s">
        <v>378</v>
      </c>
      <c r="C102" s="760"/>
      <c r="D102" s="584" t="s">
        <v>40</v>
      </c>
      <c r="E102" s="584" t="s">
        <v>57</v>
      </c>
      <c r="F102" s="584" t="s">
        <v>57</v>
      </c>
      <c r="G102" s="585" t="s">
        <v>60</v>
      </c>
      <c r="H102" s="563">
        <v>30614.04</v>
      </c>
      <c r="I102" s="581">
        <v>1437</v>
      </c>
      <c r="J102" s="582">
        <v>21.304133611691025</v>
      </c>
      <c r="K102" s="566">
        <v>1071</v>
      </c>
      <c r="L102" s="567">
        <v>0.25469728601252611</v>
      </c>
      <c r="M102" s="564">
        <v>707</v>
      </c>
      <c r="N102" s="568">
        <v>0.33986928104575165</v>
      </c>
      <c r="O102" s="586">
        <v>43.301329561527581</v>
      </c>
      <c r="P102" s="564">
        <v>228</v>
      </c>
      <c r="Q102" s="569">
        <v>0.21288515406162464</v>
      </c>
      <c r="R102" s="570">
        <v>134.2721052631579</v>
      </c>
      <c r="S102" s="565">
        <v>30614.04</v>
      </c>
      <c r="T102" s="564">
        <v>1437</v>
      </c>
      <c r="U102" s="565">
        <v>21.304133611691025</v>
      </c>
      <c r="V102" s="566">
        <v>1071</v>
      </c>
      <c r="W102" s="567">
        <v>0.25469728601252611</v>
      </c>
      <c r="X102" s="564">
        <v>707</v>
      </c>
      <c r="Y102" s="568">
        <v>0.33986928104575165</v>
      </c>
      <c r="Z102" s="586">
        <v>43.301329561527581</v>
      </c>
      <c r="AA102" s="591">
        <v>228</v>
      </c>
      <c r="AB102" s="569">
        <v>0.21288515406162464</v>
      </c>
      <c r="AC102" s="571">
        <v>134.2721052631579</v>
      </c>
      <c r="AD102" s="563" t="s">
        <v>123</v>
      </c>
      <c r="AE102" s="564" t="s">
        <v>123</v>
      </c>
      <c r="AF102" s="565" t="s">
        <v>123</v>
      </c>
      <c r="AG102" s="566" t="s">
        <v>123</v>
      </c>
      <c r="AH102" s="567" t="s">
        <v>123</v>
      </c>
      <c r="AI102" s="564" t="s">
        <v>123</v>
      </c>
      <c r="AJ102" s="568" t="s">
        <v>123</v>
      </c>
      <c r="AK102" s="586" t="s">
        <v>123</v>
      </c>
      <c r="AL102" s="574" t="s">
        <v>123</v>
      </c>
      <c r="AM102" s="569" t="s">
        <v>123</v>
      </c>
      <c r="AN102" s="570" t="s">
        <v>123</v>
      </c>
      <c r="AO102" s="635"/>
      <c r="AP102" s="587"/>
      <c r="AQ102" s="636"/>
      <c r="AR102" s="641"/>
      <c r="AS102" s="638"/>
      <c r="AT102" s="579"/>
      <c r="AU102" s="580"/>
    </row>
    <row r="103" spans="1:47" ht="49.95" customHeight="1" thickBot="1">
      <c r="C103" s="758" t="s">
        <v>250</v>
      </c>
      <c r="D103" s="541"/>
      <c r="E103" s="541"/>
      <c r="F103" s="541"/>
      <c r="G103" s="542" t="s">
        <v>139</v>
      </c>
      <c r="H103" s="543">
        <v>54110.47</v>
      </c>
      <c r="I103" s="544">
        <v>2129</v>
      </c>
      <c r="J103" s="545">
        <v>25.415908877407233</v>
      </c>
      <c r="K103" s="546">
        <v>1861</v>
      </c>
      <c r="L103" s="547">
        <v>0.12588069516204792</v>
      </c>
      <c r="M103" s="544">
        <v>1309</v>
      </c>
      <c r="N103" s="548">
        <v>0.29661472326706073</v>
      </c>
      <c r="O103" s="549">
        <v>41.337257448433917</v>
      </c>
      <c r="P103" s="544">
        <v>495</v>
      </c>
      <c r="Q103" s="548">
        <v>0.26598602901665769</v>
      </c>
      <c r="R103" s="550">
        <v>109.31408080808082</v>
      </c>
      <c r="S103" s="545">
        <v>12798.3</v>
      </c>
      <c r="T103" s="544">
        <v>602</v>
      </c>
      <c r="U103" s="545">
        <v>21.259634551495015</v>
      </c>
      <c r="V103" s="546">
        <v>463</v>
      </c>
      <c r="W103" s="547">
        <v>0.23089700996677742</v>
      </c>
      <c r="X103" s="544">
        <v>280</v>
      </c>
      <c r="Y103" s="548">
        <v>0.39524838012958963</v>
      </c>
      <c r="Z103" s="549">
        <v>45.708214285714284</v>
      </c>
      <c r="AA103" s="629">
        <v>99</v>
      </c>
      <c r="AB103" s="548">
        <v>0.21382289416846653</v>
      </c>
      <c r="AC103" s="551">
        <v>129.27575757575758</v>
      </c>
      <c r="AD103" s="552">
        <v>41312.17</v>
      </c>
      <c r="AE103" s="553">
        <v>1527</v>
      </c>
      <c r="AF103" s="549">
        <v>27.054466273739358</v>
      </c>
      <c r="AG103" s="546">
        <v>1398</v>
      </c>
      <c r="AH103" s="547">
        <v>8.4479371316306479E-2</v>
      </c>
      <c r="AI103" s="553">
        <v>1029</v>
      </c>
      <c r="AJ103" s="548">
        <v>0.26394849785407726</v>
      </c>
      <c r="AK103" s="549">
        <v>40.147881438289602</v>
      </c>
      <c r="AL103" s="554">
        <v>396</v>
      </c>
      <c r="AM103" s="548">
        <v>0.2832618025751073</v>
      </c>
      <c r="AN103" s="550">
        <v>104.32366161616162</v>
      </c>
      <c r="AO103" s="630"/>
      <c r="AP103" s="555"/>
      <c r="AQ103" s="631"/>
      <c r="AR103" s="632"/>
      <c r="AS103" s="633"/>
      <c r="AT103" s="583"/>
      <c r="AU103" s="580"/>
    </row>
    <row r="104" spans="1:47" ht="21" hidden="1" customHeight="1">
      <c r="A104" t="s">
        <v>458</v>
      </c>
      <c r="B104" t="s">
        <v>366</v>
      </c>
      <c r="C104" s="759"/>
      <c r="D104" s="561" t="s">
        <v>40</v>
      </c>
      <c r="E104" s="561" t="s">
        <v>142</v>
      </c>
      <c r="F104" s="561" t="s">
        <v>44</v>
      </c>
      <c r="G104" s="562" t="s">
        <v>42</v>
      </c>
      <c r="H104" s="563">
        <v>3198.91</v>
      </c>
      <c r="I104" s="564">
        <v>181</v>
      </c>
      <c r="J104" s="565">
        <v>17.673535911602208</v>
      </c>
      <c r="K104" s="566">
        <v>180</v>
      </c>
      <c r="L104" s="567">
        <v>5.5248618784530384E-3</v>
      </c>
      <c r="M104" s="564">
        <v>125</v>
      </c>
      <c r="N104" s="568">
        <v>0.30555555555555558</v>
      </c>
      <c r="O104" s="565">
        <v>25.591279999999998</v>
      </c>
      <c r="P104" s="564">
        <v>46</v>
      </c>
      <c r="Q104" s="569">
        <v>0.25555555555555554</v>
      </c>
      <c r="R104" s="570">
        <v>69.541521739130431</v>
      </c>
      <c r="S104" s="565" t="s">
        <v>123</v>
      </c>
      <c r="T104" s="564" t="s">
        <v>123</v>
      </c>
      <c r="U104" s="565" t="s">
        <v>123</v>
      </c>
      <c r="V104" s="566" t="s">
        <v>123</v>
      </c>
      <c r="W104" s="567" t="s">
        <v>123</v>
      </c>
      <c r="X104" s="564" t="s">
        <v>123</v>
      </c>
      <c r="Y104" s="568" t="s">
        <v>123</v>
      </c>
      <c r="Z104" s="565" t="s">
        <v>123</v>
      </c>
      <c r="AA104" s="591" t="s">
        <v>123</v>
      </c>
      <c r="AB104" s="569" t="s">
        <v>123</v>
      </c>
      <c r="AC104" s="571" t="s">
        <v>123</v>
      </c>
      <c r="AD104" s="563">
        <v>3198.91</v>
      </c>
      <c r="AE104" s="564">
        <v>181</v>
      </c>
      <c r="AF104" s="565">
        <v>17.673535911602208</v>
      </c>
      <c r="AG104" s="566">
        <v>180</v>
      </c>
      <c r="AH104" s="567">
        <v>5.5248618784530384E-3</v>
      </c>
      <c r="AI104" s="564">
        <v>125</v>
      </c>
      <c r="AJ104" s="568">
        <v>0.30555555555555558</v>
      </c>
      <c r="AK104" s="565">
        <v>25.591279999999998</v>
      </c>
      <c r="AL104" s="591">
        <v>46</v>
      </c>
      <c r="AM104" s="569">
        <v>0.25555555555555554</v>
      </c>
      <c r="AN104" s="570">
        <v>69.541521739130431</v>
      </c>
      <c r="AO104" s="635"/>
      <c r="AP104" s="569"/>
      <c r="AQ104" s="653"/>
      <c r="AR104" s="637"/>
      <c r="AS104" s="638"/>
      <c r="AT104" s="579"/>
      <c r="AU104" s="580"/>
    </row>
    <row r="105" spans="1:47" ht="21" hidden="1" customHeight="1">
      <c r="A105" t="s">
        <v>459</v>
      </c>
      <c r="B105" t="s">
        <v>368</v>
      </c>
      <c r="C105" s="759"/>
      <c r="D105" s="561" t="s">
        <v>52</v>
      </c>
      <c r="E105" s="561" t="s">
        <v>145</v>
      </c>
      <c r="F105" s="561" t="s">
        <v>44</v>
      </c>
      <c r="G105" s="562" t="s">
        <v>42</v>
      </c>
      <c r="H105" s="563">
        <v>8515.8799999999992</v>
      </c>
      <c r="I105" s="564">
        <v>428</v>
      </c>
      <c r="J105" s="565">
        <v>19.896915887850465</v>
      </c>
      <c r="K105" s="566">
        <v>363</v>
      </c>
      <c r="L105" s="567">
        <v>0.15186915887850466</v>
      </c>
      <c r="M105" s="564">
        <v>261</v>
      </c>
      <c r="N105" s="568">
        <v>0.28099173553719009</v>
      </c>
      <c r="O105" s="565">
        <v>32.627892720306512</v>
      </c>
      <c r="P105" s="564">
        <v>88</v>
      </c>
      <c r="Q105" s="569">
        <v>0.24242424242424243</v>
      </c>
      <c r="R105" s="570">
        <v>96.771363636363631</v>
      </c>
      <c r="S105" s="565" t="s">
        <v>123</v>
      </c>
      <c r="T105" s="564" t="s">
        <v>123</v>
      </c>
      <c r="U105" s="565" t="s">
        <v>123</v>
      </c>
      <c r="V105" s="566" t="s">
        <v>123</v>
      </c>
      <c r="W105" s="567" t="s">
        <v>123</v>
      </c>
      <c r="X105" s="564" t="s">
        <v>123</v>
      </c>
      <c r="Y105" s="568" t="s">
        <v>123</v>
      </c>
      <c r="Z105" s="565" t="s">
        <v>123</v>
      </c>
      <c r="AA105" s="591" t="s">
        <v>123</v>
      </c>
      <c r="AB105" s="569" t="s">
        <v>123</v>
      </c>
      <c r="AC105" s="571" t="s">
        <v>123</v>
      </c>
      <c r="AD105" s="563">
        <v>8515.8799999999992</v>
      </c>
      <c r="AE105" s="564">
        <v>428</v>
      </c>
      <c r="AF105" s="565">
        <v>19.896915887850465</v>
      </c>
      <c r="AG105" s="566">
        <v>363</v>
      </c>
      <c r="AH105" s="567">
        <v>0.15186915887850466</v>
      </c>
      <c r="AI105" s="564">
        <v>261</v>
      </c>
      <c r="AJ105" s="568">
        <v>0.28099173553719009</v>
      </c>
      <c r="AK105" s="565">
        <v>32.627892720306512</v>
      </c>
      <c r="AL105" s="591">
        <v>88</v>
      </c>
      <c r="AM105" s="569">
        <v>0.24242424242424243</v>
      </c>
      <c r="AN105" s="570">
        <v>96.771363636363631</v>
      </c>
      <c r="AO105" s="635"/>
      <c r="AP105" s="569"/>
      <c r="AQ105" s="653"/>
      <c r="AR105" s="637"/>
      <c r="AS105" s="638"/>
      <c r="AT105" s="579"/>
      <c r="AU105" s="580"/>
    </row>
    <row r="106" spans="1:47" ht="21" hidden="1" customHeight="1">
      <c r="A106" t="s">
        <v>460</v>
      </c>
      <c r="B106" t="s">
        <v>370</v>
      </c>
      <c r="C106" s="759"/>
      <c r="D106" s="561" t="s">
        <v>40</v>
      </c>
      <c r="E106" s="561" t="s">
        <v>57</v>
      </c>
      <c r="F106" s="561" t="s">
        <v>57</v>
      </c>
      <c r="G106" s="562" t="s">
        <v>42</v>
      </c>
      <c r="H106" s="563">
        <v>0</v>
      </c>
      <c r="I106" s="564">
        <v>0</v>
      </c>
      <c r="J106" s="565" t="s">
        <v>123</v>
      </c>
      <c r="K106" s="566">
        <v>11</v>
      </c>
      <c r="L106" s="567" t="s">
        <v>123</v>
      </c>
      <c r="M106" s="564">
        <v>1</v>
      </c>
      <c r="N106" s="568">
        <v>0.90909090909090906</v>
      </c>
      <c r="O106" s="565">
        <v>0</v>
      </c>
      <c r="P106" s="564">
        <v>0</v>
      </c>
      <c r="Q106" s="569">
        <v>0</v>
      </c>
      <c r="R106" s="570" t="s">
        <v>123</v>
      </c>
      <c r="S106" s="565">
        <v>0</v>
      </c>
      <c r="T106" s="564">
        <v>0</v>
      </c>
      <c r="U106" s="565" t="s">
        <v>123</v>
      </c>
      <c r="V106" s="566">
        <v>11</v>
      </c>
      <c r="W106" s="567" t="s">
        <v>123</v>
      </c>
      <c r="X106" s="564">
        <v>1</v>
      </c>
      <c r="Y106" s="568">
        <v>0.90909090909090906</v>
      </c>
      <c r="Z106" s="565">
        <v>0</v>
      </c>
      <c r="AA106" s="591">
        <v>0</v>
      </c>
      <c r="AB106" s="569">
        <v>0</v>
      </c>
      <c r="AC106" s="571" t="s">
        <v>123</v>
      </c>
      <c r="AD106" s="563" t="s">
        <v>123</v>
      </c>
      <c r="AE106" s="564" t="s">
        <v>123</v>
      </c>
      <c r="AF106" s="565" t="s">
        <v>123</v>
      </c>
      <c r="AG106" s="566" t="s">
        <v>123</v>
      </c>
      <c r="AH106" s="567" t="s">
        <v>123</v>
      </c>
      <c r="AI106" s="564" t="s">
        <v>123</v>
      </c>
      <c r="AJ106" s="568" t="s">
        <v>123</v>
      </c>
      <c r="AK106" s="565" t="s">
        <v>123</v>
      </c>
      <c r="AL106" s="591" t="s">
        <v>123</v>
      </c>
      <c r="AM106" s="569" t="s">
        <v>123</v>
      </c>
      <c r="AN106" s="570" t="s">
        <v>123</v>
      </c>
      <c r="AO106" s="635"/>
      <c r="AP106" s="569"/>
      <c r="AQ106" s="653"/>
      <c r="AR106" s="637"/>
      <c r="AS106" s="638"/>
      <c r="AT106" s="579"/>
      <c r="AU106" s="580"/>
    </row>
    <row r="107" spans="1:47" ht="21" hidden="1" customHeight="1">
      <c r="A107" t="s">
        <v>461</v>
      </c>
      <c r="B107" t="s">
        <v>372</v>
      </c>
      <c r="C107" s="759"/>
      <c r="D107" s="561" t="s">
        <v>52</v>
      </c>
      <c r="E107" s="561" t="s">
        <v>121</v>
      </c>
      <c r="F107" s="561" t="s">
        <v>44</v>
      </c>
      <c r="G107" s="562" t="s">
        <v>42</v>
      </c>
      <c r="H107" s="563">
        <v>0</v>
      </c>
      <c r="I107" s="564">
        <v>0</v>
      </c>
      <c r="J107" s="565" t="s">
        <v>123</v>
      </c>
      <c r="K107" s="566">
        <v>2</v>
      </c>
      <c r="L107" s="567" t="s">
        <v>123</v>
      </c>
      <c r="M107" s="564">
        <v>2</v>
      </c>
      <c r="N107" s="568">
        <v>0</v>
      </c>
      <c r="O107" s="565">
        <v>0</v>
      </c>
      <c r="P107" s="564">
        <v>2</v>
      </c>
      <c r="Q107" s="569">
        <v>1</v>
      </c>
      <c r="R107" s="570">
        <v>0</v>
      </c>
      <c r="S107" s="565" t="s">
        <v>123</v>
      </c>
      <c r="T107" s="564" t="s">
        <v>123</v>
      </c>
      <c r="U107" s="565" t="s">
        <v>123</v>
      </c>
      <c r="V107" s="566" t="s">
        <v>123</v>
      </c>
      <c r="W107" s="567" t="s">
        <v>123</v>
      </c>
      <c r="X107" s="564" t="s">
        <v>123</v>
      </c>
      <c r="Y107" s="568" t="s">
        <v>123</v>
      </c>
      <c r="Z107" s="565" t="s">
        <v>123</v>
      </c>
      <c r="AA107" s="591" t="s">
        <v>123</v>
      </c>
      <c r="AB107" s="569" t="s">
        <v>123</v>
      </c>
      <c r="AC107" s="571" t="s">
        <v>123</v>
      </c>
      <c r="AD107" s="563">
        <v>0</v>
      </c>
      <c r="AE107" s="564">
        <v>0</v>
      </c>
      <c r="AF107" s="565" t="s">
        <v>123</v>
      </c>
      <c r="AG107" s="566">
        <v>2</v>
      </c>
      <c r="AH107" s="567" t="s">
        <v>123</v>
      </c>
      <c r="AI107" s="564">
        <v>2</v>
      </c>
      <c r="AJ107" s="568">
        <v>0</v>
      </c>
      <c r="AK107" s="565">
        <v>0</v>
      </c>
      <c r="AL107" s="591">
        <v>2</v>
      </c>
      <c r="AM107" s="569">
        <v>1</v>
      </c>
      <c r="AN107" s="570">
        <v>0</v>
      </c>
      <c r="AO107" s="635"/>
      <c r="AP107" s="569"/>
      <c r="AQ107" s="653"/>
      <c r="AR107" s="637"/>
      <c r="AS107" s="638"/>
      <c r="AT107" s="579"/>
      <c r="AU107" s="580"/>
    </row>
    <row r="108" spans="1:47" ht="21" hidden="1" customHeight="1">
      <c r="A108" t="s">
        <v>462</v>
      </c>
      <c r="B108" t="s">
        <v>374</v>
      </c>
      <c r="C108" s="759"/>
      <c r="D108" s="561" t="s">
        <v>40</v>
      </c>
      <c r="E108" s="561" t="s">
        <v>142</v>
      </c>
      <c r="F108" s="561" t="s">
        <v>44</v>
      </c>
      <c r="G108" s="562" t="s">
        <v>60</v>
      </c>
      <c r="H108" s="563">
        <v>13881.83</v>
      </c>
      <c r="I108" s="564">
        <v>381</v>
      </c>
      <c r="J108" s="565">
        <v>36.43524934383202</v>
      </c>
      <c r="K108" s="566">
        <v>355</v>
      </c>
      <c r="L108" s="567">
        <v>6.8241469816272965E-2</v>
      </c>
      <c r="M108" s="564">
        <v>260</v>
      </c>
      <c r="N108" s="568">
        <v>0.26760563380281688</v>
      </c>
      <c r="O108" s="565">
        <v>53.391653846153844</v>
      </c>
      <c r="P108" s="564">
        <v>91</v>
      </c>
      <c r="Q108" s="569">
        <v>0.25633802816901408</v>
      </c>
      <c r="R108" s="570">
        <v>152.54758241758242</v>
      </c>
      <c r="S108" s="565" t="s">
        <v>123</v>
      </c>
      <c r="T108" s="564" t="s">
        <v>123</v>
      </c>
      <c r="U108" s="565" t="s">
        <v>123</v>
      </c>
      <c r="V108" s="566" t="s">
        <v>123</v>
      </c>
      <c r="W108" s="567" t="s">
        <v>123</v>
      </c>
      <c r="X108" s="564" t="s">
        <v>123</v>
      </c>
      <c r="Y108" s="568" t="s">
        <v>123</v>
      </c>
      <c r="Z108" s="565" t="s">
        <v>123</v>
      </c>
      <c r="AA108" s="591" t="s">
        <v>123</v>
      </c>
      <c r="AB108" s="569" t="s">
        <v>123</v>
      </c>
      <c r="AC108" s="571" t="s">
        <v>123</v>
      </c>
      <c r="AD108" s="563">
        <v>13881.83</v>
      </c>
      <c r="AE108" s="564">
        <v>381</v>
      </c>
      <c r="AF108" s="565">
        <v>36.43524934383202</v>
      </c>
      <c r="AG108" s="566">
        <v>355</v>
      </c>
      <c r="AH108" s="567">
        <v>6.8241469816272965E-2</v>
      </c>
      <c r="AI108" s="564">
        <v>260</v>
      </c>
      <c r="AJ108" s="568">
        <v>0.26760563380281688</v>
      </c>
      <c r="AK108" s="565">
        <v>53.391653846153844</v>
      </c>
      <c r="AL108" s="591">
        <v>91</v>
      </c>
      <c r="AM108" s="569">
        <v>0.25633802816901408</v>
      </c>
      <c r="AN108" s="570">
        <v>152.54758241758242</v>
      </c>
      <c r="AO108" s="635"/>
      <c r="AP108" s="569"/>
      <c r="AQ108" s="653"/>
      <c r="AR108" s="637"/>
      <c r="AS108" s="638"/>
      <c r="AT108" s="579"/>
      <c r="AU108" s="580"/>
    </row>
    <row r="109" spans="1:47" ht="21" hidden="1" customHeight="1">
      <c r="A109" t="s">
        <v>463</v>
      </c>
      <c r="B109" t="s">
        <v>376</v>
      </c>
      <c r="C109" s="759"/>
      <c r="D109" s="561" t="s">
        <v>52</v>
      </c>
      <c r="E109" s="561" t="s">
        <v>145</v>
      </c>
      <c r="F109" s="561" t="s">
        <v>44</v>
      </c>
      <c r="G109" s="562" t="s">
        <v>60</v>
      </c>
      <c r="H109" s="563">
        <v>15715.55</v>
      </c>
      <c r="I109" s="564">
        <v>537</v>
      </c>
      <c r="J109" s="565">
        <v>29.265456238361264</v>
      </c>
      <c r="K109" s="566">
        <v>498</v>
      </c>
      <c r="L109" s="567">
        <v>7.2625698324022353E-2</v>
      </c>
      <c r="M109" s="564">
        <v>381</v>
      </c>
      <c r="N109" s="568">
        <v>0.23493975903614459</v>
      </c>
      <c r="O109" s="565">
        <v>41.248162729658787</v>
      </c>
      <c r="P109" s="564">
        <v>169</v>
      </c>
      <c r="Q109" s="569">
        <v>0.3393574297188755</v>
      </c>
      <c r="R109" s="570">
        <v>92.991420118343186</v>
      </c>
      <c r="S109" s="565" t="s">
        <v>123</v>
      </c>
      <c r="T109" s="564" t="s">
        <v>123</v>
      </c>
      <c r="U109" s="565" t="s">
        <v>123</v>
      </c>
      <c r="V109" s="566" t="s">
        <v>123</v>
      </c>
      <c r="W109" s="567" t="s">
        <v>123</v>
      </c>
      <c r="X109" s="564" t="s">
        <v>123</v>
      </c>
      <c r="Y109" s="568" t="s">
        <v>123</v>
      </c>
      <c r="Z109" s="565" t="s">
        <v>123</v>
      </c>
      <c r="AA109" s="591" t="s">
        <v>123</v>
      </c>
      <c r="AB109" s="569" t="s">
        <v>123</v>
      </c>
      <c r="AC109" s="571" t="s">
        <v>123</v>
      </c>
      <c r="AD109" s="563">
        <v>15715.55</v>
      </c>
      <c r="AE109" s="564">
        <v>537</v>
      </c>
      <c r="AF109" s="565">
        <v>29.265456238361264</v>
      </c>
      <c r="AG109" s="566">
        <v>498</v>
      </c>
      <c r="AH109" s="567">
        <v>7.2625698324022353E-2</v>
      </c>
      <c r="AI109" s="564">
        <v>381</v>
      </c>
      <c r="AJ109" s="568">
        <v>0.23493975903614459</v>
      </c>
      <c r="AK109" s="565">
        <v>41.248162729658787</v>
      </c>
      <c r="AL109" s="591">
        <v>169</v>
      </c>
      <c r="AM109" s="569">
        <v>0.3393574297188755</v>
      </c>
      <c r="AN109" s="570">
        <v>92.991420118343186</v>
      </c>
      <c r="AO109" s="635"/>
      <c r="AP109" s="569"/>
      <c r="AQ109" s="653"/>
      <c r="AR109" s="637"/>
      <c r="AS109" s="638"/>
      <c r="AT109" s="579"/>
      <c r="AU109" s="580"/>
    </row>
    <row r="110" spans="1:47" ht="21" hidden="1" customHeight="1">
      <c r="A110" t="s">
        <v>464</v>
      </c>
      <c r="B110" t="s">
        <v>378</v>
      </c>
      <c r="C110" s="759"/>
      <c r="D110" s="584" t="s">
        <v>40</v>
      </c>
      <c r="E110" s="584" t="s">
        <v>57</v>
      </c>
      <c r="F110" s="584" t="s">
        <v>57</v>
      </c>
      <c r="G110" s="585" t="s">
        <v>60</v>
      </c>
      <c r="H110" s="563">
        <v>12798.3</v>
      </c>
      <c r="I110" s="581">
        <v>602</v>
      </c>
      <c r="J110" s="582">
        <v>21.259634551495015</v>
      </c>
      <c r="K110" s="566">
        <v>452</v>
      </c>
      <c r="L110" s="567">
        <v>0.24916943521594684</v>
      </c>
      <c r="M110" s="564">
        <v>279</v>
      </c>
      <c r="N110" s="568">
        <v>0.38274336283185839</v>
      </c>
      <c r="O110" s="586">
        <v>45.872043010752684</v>
      </c>
      <c r="P110" s="564">
        <v>99</v>
      </c>
      <c r="Q110" s="569">
        <v>0.21902654867256638</v>
      </c>
      <c r="R110" s="570">
        <v>129.27575757575758</v>
      </c>
      <c r="S110" s="565">
        <v>12798.3</v>
      </c>
      <c r="T110" s="564">
        <v>602</v>
      </c>
      <c r="U110" s="565">
        <v>21.259634551495015</v>
      </c>
      <c r="V110" s="566">
        <v>452</v>
      </c>
      <c r="W110" s="567">
        <v>0.24916943521594684</v>
      </c>
      <c r="X110" s="564">
        <v>279</v>
      </c>
      <c r="Y110" s="568">
        <v>0.38274336283185839</v>
      </c>
      <c r="Z110" s="586">
        <v>45.872043010752684</v>
      </c>
      <c r="AA110" s="591">
        <v>99</v>
      </c>
      <c r="AB110" s="569">
        <v>0.21902654867256638</v>
      </c>
      <c r="AC110" s="571">
        <v>129.27575757575758</v>
      </c>
      <c r="AD110" s="563" t="s">
        <v>123</v>
      </c>
      <c r="AE110" s="564" t="s">
        <v>123</v>
      </c>
      <c r="AF110" s="565" t="s">
        <v>123</v>
      </c>
      <c r="AG110" s="566" t="s">
        <v>123</v>
      </c>
      <c r="AH110" s="567" t="s">
        <v>123</v>
      </c>
      <c r="AI110" s="564" t="s">
        <v>123</v>
      </c>
      <c r="AJ110" s="568" t="s">
        <v>123</v>
      </c>
      <c r="AK110" s="586" t="s">
        <v>123</v>
      </c>
      <c r="AL110" s="591" t="s">
        <v>123</v>
      </c>
      <c r="AM110" s="569" t="s">
        <v>123</v>
      </c>
      <c r="AN110" s="570" t="s">
        <v>123</v>
      </c>
      <c r="AO110" s="635"/>
      <c r="AP110" s="654"/>
      <c r="AQ110" s="653"/>
      <c r="AR110" s="641"/>
      <c r="AS110" s="638"/>
      <c r="AT110" s="579"/>
      <c r="AU110" s="580"/>
    </row>
    <row r="111" spans="1:47" ht="30" customHeight="1" thickBot="1">
      <c r="C111" s="593" t="s">
        <v>258</v>
      </c>
      <c r="D111" s="594"/>
      <c r="E111" s="594"/>
      <c r="F111" s="594"/>
      <c r="G111" s="594"/>
      <c r="H111" s="595">
        <f>SUMIF($G:$G,"tot",H:H)</f>
        <v>1674088.8029890163</v>
      </c>
      <c r="I111" s="596">
        <f>SUMIF($G:$G,"tot",I:I)</f>
        <v>82521</v>
      </c>
      <c r="J111" s="597">
        <v>24.028959882616117</v>
      </c>
      <c r="K111" s="598">
        <f>SUMIF($G:$G,"tot",K:K)</f>
        <v>58174</v>
      </c>
      <c r="L111" s="599">
        <v>0.316599716161932</v>
      </c>
      <c r="M111" s="596">
        <f>SUMIF($G:$G,"tot",M:M)</f>
        <v>40462</v>
      </c>
      <c r="N111" s="600">
        <v>0.28094752032663406</v>
      </c>
      <c r="O111" s="597">
        <v>48.89891571785207</v>
      </c>
      <c r="P111" s="596">
        <f>SUMIF($G:$G,"tot",P:P)</f>
        <v>11371</v>
      </c>
      <c r="Q111" s="601">
        <v>0.19615641828869099</v>
      </c>
      <c r="R111" s="602">
        <v>179.24922827920329</v>
      </c>
      <c r="S111" s="597">
        <f>SUMIF($G:$G,"tot",S:S)</f>
        <v>811298.50298901659</v>
      </c>
      <c r="T111" s="596">
        <f>SUMIF($G:$G,"tot",T:T)</f>
        <v>56256</v>
      </c>
      <c r="U111" s="644">
        <v>17.674687304792677</v>
      </c>
      <c r="V111" s="598">
        <f>SUMIF($G:$G,"tot",V:V)</f>
        <v>33542</v>
      </c>
      <c r="W111" s="599">
        <v>0.42208535271943998</v>
      </c>
      <c r="X111" s="596">
        <f>SUMIF($G:$G,"tot",X:X)</f>
        <v>20569</v>
      </c>
      <c r="Y111" s="600">
        <v>0.34459262710383787</v>
      </c>
      <c r="Z111" s="644">
        <v>46.663436040518931</v>
      </c>
      <c r="AA111" s="596">
        <f>SUMIF($G:$G,"tot",AA:AA)</f>
        <v>3088</v>
      </c>
      <c r="AB111" s="601">
        <v>0.1075068429328519</v>
      </c>
      <c r="AC111" s="603">
        <v>284.48012416034669</v>
      </c>
      <c r="AD111" s="595">
        <f>SUMIF($G:$G,"tot",AD:AD)</f>
        <v>862790.3</v>
      </c>
      <c r="AE111" s="596">
        <f>SUMIF($G:$G,"tot",AE:AE)</f>
        <v>26265</v>
      </c>
      <c r="AF111" s="597">
        <v>39.946517157069387</v>
      </c>
      <c r="AG111" s="598">
        <f>SUMIF($G:$G,"tot",AG:AG)</f>
        <v>24632</v>
      </c>
      <c r="AH111" s="599">
        <v>5.2356462355619256E-2</v>
      </c>
      <c r="AI111" s="596">
        <f>SUMIF($G:$G,"tot",AI:AI)</f>
        <v>19893</v>
      </c>
      <c r="AJ111" s="600">
        <v>0.18371886120996442</v>
      </c>
      <c r="AK111" s="597">
        <v>51.6409416893733</v>
      </c>
      <c r="AL111" s="596">
        <f>SUMIF($G:$G,"tot",AL:AL)</f>
        <v>8283</v>
      </c>
      <c r="AM111" s="601">
        <v>0.33158362989323842</v>
      </c>
      <c r="AN111" s="603">
        <v>127.12788838207675</v>
      </c>
      <c r="AO111" s="645">
        <v>0.82769999999999999</v>
      </c>
      <c r="AP111" s="601">
        <v>0.75229999999999997</v>
      </c>
      <c r="AQ111" s="646">
        <v>0.76919999999999999</v>
      </c>
      <c r="AR111" s="604">
        <v>0.75219999999999998</v>
      </c>
      <c r="AS111" s="647">
        <v>2.5299999999999998</v>
      </c>
      <c r="AT111" s="605"/>
      <c r="AU111" s="606"/>
    </row>
    <row r="112" spans="1:47">
      <c r="J112"/>
      <c r="AQ112" s="609"/>
    </row>
    <row r="113" spans="8:45">
      <c r="H113" s="463">
        <f>S113+AD113</f>
        <v>1460777.5829890165</v>
      </c>
      <c r="I113" s="464">
        <f>T113+AE113</f>
        <v>69240</v>
      </c>
      <c r="J113" s="463">
        <f t="shared" ref="J113" si="0">IFERROR(H113/I113,"-")</f>
        <v>21.097307668818839</v>
      </c>
      <c r="K113" s="464">
        <f>V113+AG113</f>
        <v>51764</v>
      </c>
      <c r="L113" s="183">
        <f t="shared" ref="L113" si="1">IFERROR((I113-K113)/I113,"-")</f>
        <v>0.25239745811669556</v>
      </c>
      <c r="M113" s="464">
        <f>X113+AI113</f>
        <v>38030</v>
      </c>
      <c r="N113" s="183">
        <f t="shared" ref="N113" si="2">IFERROR((K113-M113)/K113,"-")</f>
        <v>0.26531952708446022</v>
      </c>
      <c r="O113" s="463">
        <f t="shared" ref="O113" si="3">IFERROR(H113/M113,"-")</f>
        <v>38.411190717565518</v>
      </c>
      <c r="P113" s="464">
        <f>AA113+AL113</f>
        <v>10743</v>
      </c>
      <c r="Q113" s="183">
        <f>IFERROR(P113/K113,"-")</f>
        <v>0.2075380573371455</v>
      </c>
      <c r="R113" s="463">
        <f t="shared" ref="R113" si="4">IFERROR(H113/P113,"-")</f>
        <v>135.97482853849172</v>
      </c>
      <c r="S113" s="463">
        <f>S111-S87</f>
        <v>597987.28298901662</v>
      </c>
      <c r="T113" s="464">
        <f>T111-T87</f>
        <v>42975</v>
      </c>
      <c r="U113" s="463">
        <f t="shared" ref="U113" si="5">IFERROR(S113/T113,"-")</f>
        <v>13.914770982874151</v>
      </c>
      <c r="V113" s="464">
        <f>V111-V87</f>
        <v>27132</v>
      </c>
      <c r="W113" s="183">
        <f t="shared" ref="W113" si="6">IFERROR((T113-V113)/T113,"-")</f>
        <v>0.36865619546247819</v>
      </c>
      <c r="X113" s="464">
        <f>X111-X87</f>
        <v>18137</v>
      </c>
      <c r="Y113" s="183">
        <f t="shared" ref="Y113" si="7">IFERROR((V113-X113)/V113,"-")</f>
        <v>0.33152734778121773</v>
      </c>
      <c r="Z113" s="463">
        <f t="shared" ref="Z113" si="8">IFERROR(S113/X113,"-")</f>
        <v>32.970573026907239</v>
      </c>
      <c r="AA113" s="464">
        <f>AA111-AA87</f>
        <v>2460</v>
      </c>
      <c r="AB113" s="183">
        <f>IFERROR(AA113/V113,"-")</f>
        <v>9.0667846085802736E-2</v>
      </c>
      <c r="AC113" s="463">
        <f t="shared" ref="AC113" si="9">IFERROR(S113/AA113,"-")</f>
        <v>243.08426137764903</v>
      </c>
      <c r="AD113" s="463">
        <f>AD111</f>
        <v>862790.3</v>
      </c>
      <c r="AE113" s="464">
        <f>AE111</f>
        <v>26265</v>
      </c>
      <c r="AF113" s="463">
        <f t="shared" ref="AF113" si="10">IFERROR(AD113/AE113,"-")</f>
        <v>32.849430801446793</v>
      </c>
      <c r="AG113" s="464">
        <f>AG111</f>
        <v>24632</v>
      </c>
      <c r="AH113" s="183">
        <f t="shared" ref="AH113" si="11">IFERROR((AE113-AG113)/AE113,"-")</f>
        <v>6.2173995811917002E-2</v>
      </c>
      <c r="AI113" s="464">
        <f>AI111</f>
        <v>19893</v>
      </c>
      <c r="AJ113" s="183">
        <f t="shared" ref="AJ113" si="12">IFERROR((AG113-AI113)/AG113,"-")</f>
        <v>0.19239201039298473</v>
      </c>
      <c r="AK113" s="463">
        <f t="shared" ref="AK113" si="13">IFERROR(AD113/AI113,"-")</f>
        <v>43.371552807520239</v>
      </c>
      <c r="AL113" s="464">
        <f>AL111</f>
        <v>8283</v>
      </c>
      <c r="AM113" s="183">
        <f>IFERROR(AL113/AG113,"-")</f>
        <v>0.33626989282234493</v>
      </c>
      <c r="AN113" s="463">
        <f t="shared" ref="AN113" si="14">IFERROR(AD113/AL113,"-")</f>
        <v>104.16398647832911</v>
      </c>
      <c r="AS113"/>
    </row>
    <row r="114" spans="8:45">
      <c r="H114"/>
      <c r="I114"/>
      <c r="J114"/>
      <c r="K114"/>
      <c r="L114"/>
      <c r="M114"/>
      <c r="N114"/>
      <c r="S114" s="417"/>
      <c r="T114"/>
      <c r="W114"/>
      <c r="AB114"/>
      <c r="AS114"/>
    </row>
    <row r="115" spans="8:45">
      <c r="H115"/>
      <c r="I115"/>
      <c r="J115"/>
      <c r="K115"/>
      <c r="L115"/>
      <c r="M115"/>
      <c r="N115"/>
      <c r="R115" s="461" t="s">
        <v>572</v>
      </c>
      <c r="S115" s="730">
        <f>S3-S87</f>
        <v>700880.84050000017</v>
      </c>
      <c r="T115" s="731">
        <f>S115/U115</f>
        <v>74811.560402311632</v>
      </c>
      <c r="U115" s="730">
        <f>U3</f>
        <v>9.368616785038256</v>
      </c>
      <c r="V115" s="731">
        <f>T115*(1-W115)</f>
        <v>50535.430697972646</v>
      </c>
      <c r="W115" s="732">
        <f>W3</f>
        <v>0.32449703727325102</v>
      </c>
      <c r="X115" s="731">
        <f>V115*(1-Y115)</f>
        <v>33980.34812538277</v>
      </c>
      <c r="Y115" s="733">
        <f>Y3</f>
        <v>0.32759357828633329</v>
      </c>
      <c r="Z115" s="730">
        <f>Z3</f>
        <v>20.626064156666288</v>
      </c>
      <c r="AA115" s="731">
        <f>V115*AB115</f>
        <v>7009.1762163850426</v>
      </c>
      <c r="AB115" s="732">
        <f>AB3</f>
        <v>0.13869825822353649</v>
      </c>
      <c r="AC115" s="730">
        <f>S115/AA115</f>
        <v>99.994752430618291</v>
      </c>
      <c r="AE115"/>
      <c r="AG115"/>
      <c r="AH115"/>
      <c r="AI115"/>
      <c r="AJ115"/>
      <c r="AL115" s="607"/>
      <c r="AS115"/>
    </row>
    <row r="116" spans="8:45">
      <c r="H116"/>
      <c r="I116"/>
      <c r="J116"/>
      <c r="K116"/>
      <c r="L116"/>
      <c r="M116"/>
      <c r="N116"/>
      <c r="T116"/>
      <c r="W116"/>
      <c r="AB116"/>
      <c r="AC116" s="462" t="s">
        <v>259</v>
      </c>
      <c r="AD116" s="463">
        <f>SUMIF($E:$E,"MCB",$AD:$AD)</f>
        <v>4977.13</v>
      </c>
      <c r="AE116" s="464">
        <f>SUMIF($E:$E,"MCB",$AE:$AE)</f>
        <v>45</v>
      </c>
      <c r="AF116" s="463">
        <f>IFERROR(AD116/AE116,"-")</f>
        <v>110.60288888888888</v>
      </c>
      <c r="AG116" s="464">
        <f>SUMIF($E:$E,"MCB",$AG:$AG)</f>
        <v>64</v>
      </c>
      <c r="AH116" s="183">
        <f>IFERROR((AE116-AG116)/AE116,"-")</f>
        <v>-0.42222222222222222</v>
      </c>
      <c r="AI116" s="464">
        <f>SUMIF($E:$E,"MCB",$AI:$AI)</f>
        <v>54</v>
      </c>
      <c r="AJ116" s="183">
        <f t="shared" ref="AJ116:AJ117" si="15">IFERROR((AG116-AI116)/AG116,"-")</f>
        <v>0.15625</v>
      </c>
      <c r="AK116" s="463">
        <f t="shared" ref="AK116:AK117" si="16">IFERROR(AD116/AI116,"-")</f>
        <v>92.169074074074075</v>
      </c>
      <c r="AL116" s="464">
        <f>SUMIF($E:$E,"MCB",$AL:$AL)</f>
        <v>37</v>
      </c>
      <c r="AM116" s="183">
        <f>IFERROR(AL116/AG116,"-")</f>
        <v>0.578125</v>
      </c>
      <c r="AN116" s="463">
        <f t="shared" ref="AN116:AN117" si="17">IFERROR(AD116/AL116,"-")</f>
        <v>134.51702702702704</v>
      </c>
      <c r="AS116"/>
    </row>
    <row r="117" spans="8:45">
      <c r="H117"/>
      <c r="I117"/>
      <c r="J117"/>
      <c r="K117"/>
      <c r="L117"/>
      <c r="M117"/>
      <c r="N117"/>
      <c r="T117"/>
      <c r="W117"/>
      <c r="AB117"/>
      <c r="AC117" s="462" t="s">
        <v>260</v>
      </c>
      <c r="AD117" s="463">
        <f>AD113-AD116</f>
        <v>857813.17</v>
      </c>
      <c r="AE117" s="464">
        <f>AE113-AE116</f>
        <v>26220</v>
      </c>
      <c r="AF117" s="463">
        <f>IFERROR(AD117/AE117,"-")</f>
        <v>32.715986651411136</v>
      </c>
      <c r="AG117" s="464">
        <f>AG113-AG116</f>
        <v>24568</v>
      </c>
      <c r="AH117" s="183">
        <f>IFERROR((AE117-AG117)/AE117,"-")</f>
        <v>6.3005339435545385E-2</v>
      </c>
      <c r="AI117" s="464">
        <f>AI113-AI116</f>
        <v>19839</v>
      </c>
      <c r="AJ117" s="183">
        <f t="shared" si="15"/>
        <v>0.19248616085965484</v>
      </c>
      <c r="AK117" s="463">
        <f t="shared" si="16"/>
        <v>43.238730278743887</v>
      </c>
      <c r="AL117" s="464">
        <f>AL113-AL116</f>
        <v>8246</v>
      </c>
      <c r="AM117" s="183">
        <f>IFERROR(AL117/AG117,"-")</f>
        <v>0.33563985672419405</v>
      </c>
      <c r="AN117" s="463">
        <f t="shared" si="17"/>
        <v>104.02779165656077</v>
      </c>
    </row>
    <row r="118" spans="8:45">
      <c r="AC118" s="462"/>
    </row>
    <row r="119" spans="8:45">
      <c r="AC119" s="462" t="s">
        <v>261</v>
      </c>
      <c r="AD119" s="463">
        <f>SUMIFS(AD:AD,$E:$E,"Brand",$G:$G,"Yandex Direct")</f>
        <v>95480.530000000013</v>
      </c>
      <c r="AE119" s="464">
        <f>SUMIFS(AE:AE,$E:$E,"Brand",$G:$G,"Yandex Direct")</f>
        <v>4456</v>
      </c>
      <c r="AF119" s="463">
        <f t="shared" ref="AF119:AF120" si="18">IFERROR(AD119/AE119,"-")</f>
        <v>21.427407989228008</v>
      </c>
      <c r="AG119" s="464">
        <f>SUMIFS(AG:AG,$E:$E,"Brand",$G:$G,"Yandex Direct")</f>
        <v>4309</v>
      </c>
      <c r="AH119" s="183">
        <f t="shared" ref="AH119:AH120" si="19">IFERROR((AE119-AG119)/AE119,"-")</f>
        <v>3.2989228007181327E-2</v>
      </c>
      <c r="AI119" s="464">
        <f>SUMIFS(AI:AI,$E:$E,"Brand",$G:$G,"Yandex Direct")</f>
        <v>3567</v>
      </c>
      <c r="AJ119" s="183">
        <f t="shared" ref="AJ119:AJ120" si="20">IFERROR((AG119-AI119)/AG119,"-")</f>
        <v>0.17219772569041542</v>
      </c>
      <c r="AK119" s="463">
        <f t="shared" ref="AK119:AK120" si="21">IFERROR(AD119/AI119,"-")</f>
        <v>26.76774039809364</v>
      </c>
      <c r="AL119" s="464">
        <f>SUMIFS(AL:AL,$E:$E,"Brand",$G:$G,"Yandex Direct")</f>
        <v>1843</v>
      </c>
      <c r="AM119" s="183">
        <f>IFERROR(AL119/AG119,"-")</f>
        <v>0.42770944534694827</v>
      </c>
      <c r="AN119" s="463">
        <f t="shared" ref="AN119:AN120" si="22">IFERROR(AD119/AL119,"-")</f>
        <v>51.807124253933814</v>
      </c>
    </row>
    <row r="120" spans="8:45">
      <c r="AC120" s="462" t="s">
        <v>262</v>
      </c>
      <c r="AD120" s="463">
        <f>SUMIFS(AD:AD,$E:$E,"Product",$G:$G,"Yandex Direct")</f>
        <v>222373.94000000003</v>
      </c>
      <c r="AE120" s="464">
        <f>SUMIFS(AE:AE,$E:$E,"Product",$G:$G,"Yandex Direct")</f>
        <v>7265</v>
      </c>
      <c r="AF120" s="463">
        <f t="shared" si="18"/>
        <v>30.608938747419138</v>
      </c>
      <c r="AG120" s="464">
        <f>SUMIFS(AG:AG,$E:$E,"Product",$G:$G,"Yandex Direct")</f>
        <v>6563</v>
      </c>
      <c r="AH120" s="183">
        <f t="shared" si="19"/>
        <v>9.6627666896077088E-2</v>
      </c>
      <c r="AI120" s="464">
        <f>SUMIFS(AI:AI,$E:$E,"Product",$G:$G,"Yandex Direct")</f>
        <v>5276</v>
      </c>
      <c r="AJ120" s="183">
        <f t="shared" si="20"/>
        <v>0.19609934481182387</v>
      </c>
      <c r="AK120" s="463">
        <f t="shared" si="21"/>
        <v>42.148206974981051</v>
      </c>
      <c r="AL120" s="464">
        <f>SUMIFS(AL:AL,$E:$E,"Product",$G:$G,"Yandex Direct")</f>
        <v>1722</v>
      </c>
      <c r="AM120" s="183">
        <f>IFERROR(AL120/AG120,"-")</f>
        <v>0.26238000914216059</v>
      </c>
      <c r="AN120" s="463">
        <f t="shared" si="22"/>
        <v>129.13701509872243</v>
      </c>
    </row>
    <row r="121" spans="8:45">
      <c r="AC121" s="462"/>
      <c r="AL121" s="607"/>
    </row>
    <row r="122" spans="8:45">
      <c r="AC122" s="462" t="s">
        <v>263</v>
      </c>
      <c r="AD122" s="463">
        <f>SUMIFS(AD:AD,$E:$E,"Brand",$G:$G,"Google Adwords")</f>
        <v>166452.31999999998</v>
      </c>
      <c r="AE122" s="464">
        <f>SUMIFS(AE:AE,$E:$E,"Brand",$G:$G,"Google Adwords")</f>
        <v>5564</v>
      </c>
      <c r="AF122" s="463">
        <f t="shared" ref="AF122:AF123" si="23">IFERROR(AD122/AE122,"-")</f>
        <v>29.915945363048163</v>
      </c>
      <c r="AG122" s="464">
        <f>SUMIFS(AG:AG,$E:$E,"Brand",$G:$G,"Google Adwords")</f>
        <v>5406</v>
      </c>
      <c r="AH122" s="183">
        <f>IFERROR((AE122-AG122)/AE122,"-")</f>
        <v>2.8396836808051763E-2</v>
      </c>
      <c r="AI122" s="464">
        <f>SUMIFS(AI:AI,$E:$E,"Brand",$G:$G,"Google Adwords")</f>
        <v>4347</v>
      </c>
      <c r="AJ122" s="183">
        <f t="shared" ref="AJ122:AJ123" si="24">IFERROR((AG122-AI122)/AG122,"-")</f>
        <v>0.19589345172031078</v>
      </c>
      <c r="AK122" s="463">
        <f t="shared" ref="AK122:AK123" si="25">IFERROR(AD122/AI122,"-")</f>
        <v>38.291308948700248</v>
      </c>
      <c r="AL122" s="464">
        <f>SUMIFS(AL:AL,$E:$E,"Brand",$G:$G,"Google Adwords")</f>
        <v>2110</v>
      </c>
      <c r="AM122" s="183">
        <f>IFERROR(AL122/AG122,"-")</f>
        <v>0.39030706622271549</v>
      </c>
      <c r="AN122" s="463">
        <f t="shared" ref="AN122:AN123" si="26">IFERROR(AD122/AL122,"-")</f>
        <v>78.887355450236953</v>
      </c>
    </row>
    <row r="123" spans="8:45">
      <c r="AC123" s="462" t="s">
        <v>264</v>
      </c>
      <c r="AD123" s="463">
        <f>SUMIFS(AD:AD,$E:$E,"Product",$G:$G,"Google Adwords")</f>
        <v>373506.38000000006</v>
      </c>
      <c r="AE123" s="464">
        <f>SUMIFS(AE:AE,$E:$E,"Product",$G:$G,"Google Adwords")</f>
        <v>8935</v>
      </c>
      <c r="AF123" s="463">
        <f t="shared" si="23"/>
        <v>41.802616675993292</v>
      </c>
      <c r="AG123" s="464">
        <f>SUMIFS(AG:AG,$E:$E,"Product",$G:$G,"Google Adwords")</f>
        <v>8290</v>
      </c>
      <c r="AH123" s="183">
        <f>IFERROR((AE123-AG123)/AE123,"-")</f>
        <v>7.218802462227196E-2</v>
      </c>
      <c r="AI123" s="464">
        <f>SUMIFS(AI:AI,$E:$E,"Product",$G:$G,"Google Adwords")</f>
        <v>6649</v>
      </c>
      <c r="AJ123" s="183">
        <f t="shared" si="24"/>
        <v>0.19794933655006031</v>
      </c>
      <c r="AK123" s="463">
        <f t="shared" si="25"/>
        <v>56.174820273725381</v>
      </c>
      <c r="AL123" s="464">
        <f>SUMIFS(AL:AL,$E:$E,"Product",$G:$G,"Google Adwords")</f>
        <v>2571</v>
      </c>
      <c r="AM123" s="183">
        <f>IFERROR(AL123/AG123,"-")</f>
        <v>0.31013268998793725</v>
      </c>
      <c r="AN123" s="463">
        <f t="shared" si="26"/>
        <v>145.27669389342671</v>
      </c>
    </row>
    <row r="124" spans="8:45">
      <c r="R124" s="462" t="s">
        <v>265</v>
      </c>
      <c r="S124" s="463">
        <f>SUMIFS(S:S,$E:$E,"Network",$G:$G,"Yandex Direct")-S90</f>
        <v>292341.68000000005</v>
      </c>
      <c r="T124" s="464">
        <f>SUMIFS(T:T,$E:$E,"Network",$G:$G,"Yandex Direct")-T90</f>
        <v>20474</v>
      </c>
      <c r="U124" s="463">
        <f t="shared" ref="U124:U125" si="27">IFERROR(S124/T124,"-")</f>
        <v>14.278679300576343</v>
      </c>
      <c r="V124" s="464">
        <f>SUMIFS(V:V,$E:$E,"Network",$G:$G,"Yandex Direct")-V90</f>
        <v>14608</v>
      </c>
      <c r="W124" s="183">
        <f t="shared" ref="W124" si="28">IFERROR((T124-V124)/T124,"-")</f>
        <v>0.28650971964442706</v>
      </c>
      <c r="X124" s="464">
        <f>SUMIFS(X:X,$E:$E,"Network",$G:$G,"Yandex Direct")-X90</f>
        <v>10222</v>
      </c>
      <c r="Y124" s="183">
        <f t="shared" ref="Y124:Y125" si="29">IFERROR((V124-X124)/V124,"-")</f>
        <v>0.30024644030668129</v>
      </c>
      <c r="Z124" s="463">
        <f t="shared" ref="Z124:Z125" si="30">IFERROR(S124/X124,"-")</f>
        <v>28.599264331833307</v>
      </c>
      <c r="AA124" s="464">
        <f>SUMIFS(AA:AA,$E:$E,"Network",$G:$G,"Yandex Direct")-AA90</f>
        <v>1076</v>
      </c>
      <c r="AB124" s="183">
        <f>IFERROR(AA124/V124,"-")</f>
        <v>7.3658269441401969E-2</v>
      </c>
      <c r="AC124" s="463">
        <f t="shared" ref="AC124:AC125" si="31">IFERROR(S124/AA124,"-")</f>
        <v>271.69301115241643</v>
      </c>
    </row>
    <row r="125" spans="8:45">
      <c r="R125" s="462" t="s">
        <v>266</v>
      </c>
      <c r="S125" s="463">
        <f>SUMIFS(S:S,$E:$E,"Network",$G:$G,"Google Adwords")-S94</f>
        <v>305645.60298901639</v>
      </c>
      <c r="T125" s="464">
        <f>SUMIFS(T:T,$E:$E,"Network",$G:$G,"Google Adwords")-T94</f>
        <v>22501</v>
      </c>
      <c r="U125" s="463">
        <f t="shared" si="27"/>
        <v>13.583645304164987</v>
      </c>
      <c r="V125" s="464">
        <f>SUMIFS(V:V,$E:$E,"Network",$G:$G,"Google Adwords")-V94</f>
        <v>12524</v>
      </c>
      <c r="W125" s="183">
        <f>IFERROR((T125-V125)/T125,"-")</f>
        <v>0.44340251544375808</v>
      </c>
      <c r="X125" s="464">
        <f>SUMIFS(X:X,$E:$E,"Network",$G:$G,"Google Adwords")-X94</f>
        <v>7915</v>
      </c>
      <c r="Y125" s="183">
        <f t="shared" si="29"/>
        <v>0.36801341424465028</v>
      </c>
      <c r="Z125" s="463">
        <f t="shared" si="30"/>
        <v>38.615995323943956</v>
      </c>
      <c r="AA125" s="464">
        <f>SUMIFS(AA:AA,$E:$E,"Network",$G:$G,"Google Adwords")-AA94</f>
        <v>1384</v>
      </c>
      <c r="AB125" s="183">
        <f>IFERROR(AA125/V125,"-")</f>
        <v>0.110507824976046</v>
      </c>
      <c r="AC125" s="463">
        <f t="shared" si="31"/>
        <v>220.84219869148583</v>
      </c>
    </row>
    <row r="127" spans="8:45">
      <c r="AC127" s="462" t="s">
        <v>265</v>
      </c>
      <c r="AD127" s="463">
        <f>AD119+AD120</f>
        <v>317854.47000000003</v>
      </c>
      <c r="AE127" s="464">
        <f>AE119+AE120</f>
        <v>11721</v>
      </c>
      <c r="AF127" s="463">
        <f t="shared" ref="AF127:AF128" si="32">IFERROR(AD127/AE127,"-")</f>
        <v>27.118374712055289</v>
      </c>
      <c r="AG127" s="464">
        <f>AG119+AG120</f>
        <v>10872</v>
      </c>
      <c r="AH127" s="183">
        <f t="shared" ref="AH127" si="33">IFERROR((AE127-AG127)/AE127,"-")</f>
        <v>7.2434092654210386E-2</v>
      </c>
      <c r="AI127" s="464">
        <f>AI119+AI120</f>
        <v>8843</v>
      </c>
      <c r="AJ127" s="183">
        <f t="shared" ref="AJ127:AJ128" si="34">IFERROR((AG127-AI127)/AG127,"-")</f>
        <v>0.186626195732156</v>
      </c>
      <c r="AK127" s="463">
        <f t="shared" ref="AK127:AK128" si="35">IFERROR(AD127/AI127,"-")</f>
        <v>35.944189754608168</v>
      </c>
      <c r="AL127" s="464">
        <f>AL119+AL120</f>
        <v>3565</v>
      </c>
      <c r="AM127" s="183">
        <f>IFERROR(AL127/AG127,"-")</f>
        <v>0.327906548933039</v>
      </c>
      <c r="AN127" s="463">
        <f t="shared" ref="AN127:AN128" si="36">IFERROR(AD127/AL127,"-")</f>
        <v>89.159739130434787</v>
      </c>
    </row>
    <row r="128" spans="8:45">
      <c r="AC128" s="462" t="s">
        <v>266</v>
      </c>
      <c r="AD128" s="463">
        <f>AD122+AD123</f>
        <v>539958.70000000007</v>
      </c>
      <c r="AE128" s="464">
        <f>AE122+AE123</f>
        <v>14499</v>
      </c>
      <c r="AF128" s="463">
        <f t="shared" si="32"/>
        <v>37.241099386164571</v>
      </c>
      <c r="AG128" s="464">
        <f>AG122+AG123</f>
        <v>13696</v>
      </c>
      <c r="AH128" s="183">
        <f>IFERROR((AE128-AG128)/AE128,"-")</f>
        <v>5.5383129871025588E-2</v>
      </c>
      <c r="AI128" s="464">
        <f>AI122+AI123</f>
        <v>10996</v>
      </c>
      <c r="AJ128" s="183">
        <f t="shared" si="34"/>
        <v>0.19713785046728971</v>
      </c>
      <c r="AK128" s="463">
        <f t="shared" si="35"/>
        <v>49.105010913059303</v>
      </c>
      <c r="AL128" s="464">
        <f>AL122+AL123</f>
        <v>4681</v>
      </c>
      <c r="AM128" s="183">
        <f>IFERROR(AL128/AG128,"-")</f>
        <v>0.34177862149532712</v>
      </c>
      <c r="AN128" s="463">
        <f t="shared" si="36"/>
        <v>115.35114291817989</v>
      </c>
    </row>
  </sheetData>
  <mergeCells count="17">
    <mergeCell ref="C71:C78"/>
    <mergeCell ref="C79:C86"/>
    <mergeCell ref="C87:C94"/>
    <mergeCell ref="C95:C102"/>
    <mergeCell ref="C103:C110"/>
    <mergeCell ref="C63:C70"/>
    <mergeCell ref="H1:R1"/>
    <mergeCell ref="S1:AC1"/>
    <mergeCell ref="AD1:AS1"/>
    <mergeCell ref="AT3:AU4"/>
    <mergeCell ref="C7:C14"/>
    <mergeCell ref="C15:C22"/>
    <mergeCell ref="C23:C30"/>
    <mergeCell ref="C31:C38"/>
    <mergeCell ref="C39:C46"/>
    <mergeCell ref="C47:C54"/>
    <mergeCell ref="C55:C62"/>
  </mergeCells>
  <conditionalFormatting sqref="AN15 AN7 AN23 AN31 AN39 AN47 AN55 AN63 AN71 AN79 AN87 AN95 AN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7 AB23 AB31 AB39 AB47 AB55 AB63 AB71 AB79 AB87 AB95 AB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 AM7 AM23 AM31 AM39 AM47 AM55 AM63 AM71 AM79 AM87 AM95 AM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O15 AO23 AO31 AO39 AO47 AO55 AO63 AO71 AO79 AO87 AO95 AO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 Q7 Q23 Q31 Q39 Q47 Q55 Q63 Q71 Q79 Q87 Q95 Q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 R7 R23 R31 R39 R47 R55 R63 R71 R79 R87 R95 R10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7 AC23 AC31 AC39 AC47 AC55 AC63 AC71 AC79 AC87 AC95 AC10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9044-6B5A-4F6B-A26C-E26138EB58F0}">
  <dimension ref="A1:AU128"/>
  <sheetViews>
    <sheetView topLeftCell="C1" zoomScale="70" zoomScaleNormal="70" workbookViewId="0">
      <pane xSplit="5" ySplit="6" topLeftCell="H71" activePane="bottomRight" state="frozen"/>
      <selection activeCell="C1" sqref="C1"/>
      <selection pane="topRight" activeCell="H1" sqref="H1"/>
      <selection pane="bottomLeft" activeCell="C7" sqref="C7"/>
      <selection pane="bottomRight" activeCell="M119" sqref="M119"/>
    </sheetView>
  </sheetViews>
  <sheetFormatPr defaultColWidth="8.77734375" defaultRowHeight="14.4"/>
  <cols>
    <col min="1" max="2" width="18.77734375" hidden="1" customWidth="1"/>
    <col min="3" max="3" width="17.77734375" customWidth="1"/>
    <col min="4" max="7" width="17.77734375" hidden="1" customWidth="1"/>
    <col min="8" max="8" width="12.77734375" style="18" customWidth="1"/>
    <col min="9" max="9" width="12.77734375" style="607" customWidth="1"/>
    <col min="10" max="10" width="9.77734375" style="607" customWidth="1"/>
    <col min="11" max="11" width="12.77734375" style="607" customWidth="1"/>
    <col min="12" max="12" width="9.77734375" style="607" customWidth="1"/>
    <col min="13" max="13" width="12.77734375" style="607" customWidth="1"/>
    <col min="14" max="14" width="9.77734375" style="607" customWidth="1"/>
    <col min="15" max="15" width="9.77734375" customWidth="1"/>
    <col min="16" max="16" width="12.77734375" customWidth="1"/>
    <col min="17" max="18" width="9.77734375" customWidth="1"/>
    <col min="19" max="19" width="12.77734375" customWidth="1"/>
    <col min="20" max="20" width="12.77734375" style="607" customWidth="1"/>
    <col min="21" max="21" width="9.77734375" customWidth="1"/>
    <col min="22" max="22" width="12.77734375" style="607" customWidth="1"/>
    <col min="23" max="23" width="9.77734375" style="607" customWidth="1"/>
    <col min="24" max="24" width="12.77734375" style="607" customWidth="1"/>
    <col min="25" max="25" width="9.77734375" style="607" customWidth="1"/>
    <col min="26" max="26" width="9.77734375" customWidth="1"/>
    <col min="27" max="27" width="12.77734375" customWidth="1"/>
    <col min="28" max="28" width="9.77734375" style="608" customWidth="1"/>
    <col min="29" max="29" width="9.77734375" customWidth="1"/>
    <col min="30" max="30" width="12.77734375" customWidth="1"/>
    <col min="31" max="31" width="12.77734375" style="607" customWidth="1"/>
    <col min="32" max="32" width="9.77734375" customWidth="1"/>
    <col min="33" max="33" width="12.77734375" style="607" customWidth="1"/>
    <col min="34" max="34" width="9.77734375" style="607" customWidth="1"/>
    <col min="35" max="35" width="12.77734375" style="607" customWidth="1"/>
    <col min="36" max="36" width="10.77734375" style="607" customWidth="1"/>
    <col min="37" max="37" width="9.77734375" customWidth="1"/>
    <col min="38" max="38" width="12.77734375" customWidth="1"/>
    <col min="39" max="44" width="9.77734375" customWidth="1"/>
    <col min="45" max="45" width="9.77734375" style="18" customWidth="1"/>
    <col min="46" max="47" width="44.77734375" customWidth="1"/>
  </cols>
  <sheetData>
    <row r="1" spans="1:47" s="417" customFormat="1" ht="22.2" customHeight="1" thickBot="1">
      <c r="C1" s="655"/>
      <c r="D1" s="468" t="s">
        <v>7</v>
      </c>
      <c r="E1" s="469" t="s">
        <v>8</v>
      </c>
      <c r="F1" s="469" t="s">
        <v>10</v>
      </c>
      <c r="G1" s="469" t="s">
        <v>9</v>
      </c>
      <c r="H1" s="761" t="s">
        <v>124</v>
      </c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4" t="s">
        <v>125</v>
      </c>
      <c r="T1" s="765"/>
      <c r="U1" s="765"/>
      <c r="V1" s="765"/>
      <c r="W1" s="765"/>
      <c r="X1" s="765"/>
      <c r="Y1" s="765"/>
      <c r="Z1" s="765"/>
      <c r="AA1" s="765"/>
      <c r="AB1" s="765"/>
      <c r="AC1" s="765"/>
      <c r="AD1" s="767" t="s">
        <v>126</v>
      </c>
      <c r="AE1" s="768"/>
      <c r="AF1" s="768"/>
      <c r="AG1" s="768"/>
      <c r="AH1" s="768"/>
      <c r="AI1" s="768"/>
      <c r="AJ1" s="768"/>
      <c r="AK1" s="768"/>
      <c r="AL1" s="768"/>
      <c r="AM1" s="768"/>
      <c r="AN1" s="768"/>
      <c r="AO1" s="768"/>
      <c r="AP1" s="768"/>
      <c r="AQ1" s="768"/>
      <c r="AR1" s="768"/>
      <c r="AS1" s="769"/>
      <c r="AT1" s="471"/>
      <c r="AU1" s="471"/>
    </row>
    <row r="2" spans="1:47" ht="58.2" thickBot="1">
      <c r="C2" s="656" t="s">
        <v>122</v>
      </c>
      <c r="D2" s="472"/>
      <c r="E2" s="472"/>
      <c r="F2" s="472"/>
      <c r="G2" s="472"/>
      <c r="H2" s="474" t="s">
        <v>119</v>
      </c>
      <c r="I2" s="475" t="s">
        <v>26</v>
      </c>
      <c r="J2" s="475" t="s">
        <v>48</v>
      </c>
      <c r="K2" s="476" t="s">
        <v>28</v>
      </c>
      <c r="L2" s="476" t="s">
        <v>103</v>
      </c>
      <c r="M2" s="477" t="s">
        <v>31</v>
      </c>
      <c r="N2" s="478" t="s">
        <v>30</v>
      </c>
      <c r="O2" s="477" t="s">
        <v>32</v>
      </c>
      <c r="P2" s="479" t="s">
        <v>107</v>
      </c>
      <c r="Q2" s="479" t="s">
        <v>120</v>
      </c>
      <c r="R2" s="481" t="s">
        <v>34</v>
      </c>
      <c r="S2" s="474" t="s">
        <v>119</v>
      </c>
      <c r="T2" s="475" t="s">
        <v>26</v>
      </c>
      <c r="U2" s="475" t="s">
        <v>48</v>
      </c>
      <c r="V2" s="476" t="s">
        <v>28</v>
      </c>
      <c r="W2" s="476" t="s">
        <v>103</v>
      </c>
      <c r="X2" s="477" t="s">
        <v>31</v>
      </c>
      <c r="Y2" s="478" t="s">
        <v>30</v>
      </c>
      <c r="Z2" s="477" t="s">
        <v>32</v>
      </c>
      <c r="AA2" s="479" t="s">
        <v>107</v>
      </c>
      <c r="AB2" s="479" t="s">
        <v>120</v>
      </c>
      <c r="AC2" s="481" t="s">
        <v>34</v>
      </c>
      <c r="AD2" s="474" t="s">
        <v>119</v>
      </c>
      <c r="AE2" s="475" t="s">
        <v>26</v>
      </c>
      <c r="AF2" s="475" t="s">
        <v>48</v>
      </c>
      <c r="AG2" s="476" t="s">
        <v>28</v>
      </c>
      <c r="AH2" s="476" t="s">
        <v>103</v>
      </c>
      <c r="AI2" s="477" t="s">
        <v>31</v>
      </c>
      <c r="AJ2" s="478" t="s">
        <v>30</v>
      </c>
      <c r="AK2" s="477" t="s">
        <v>32</v>
      </c>
      <c r="AL2" s="479" t="s">
        <v>107</v>
      </c>
      <c r="AM2" s="479" t="s">
        <v>120</v>
      </c>
      <c r="AN2" s="481" t="s">
        <v>34</v>
      </c>
      <c r="AO2" s="610" t="s">
        <v>127</v>
      </c>
      <c r="AP2" s="483" t="s">
        <v>128</v>
      </c>
      <c r="AQ2" s="611" t="s">
        <v>129</v>
      </c>
      <c r="AR2" s="482" t="s">
        <v>130</v>
      </c>
      <c r="AS2" s="612" t="s">
        <v>131</v>
      </c>
      <c r="AT2" s="487" t="s">
        <v>132</v>
      </c>
      <c r="AU2" s="488" t="s">
        <v>133</v>
      </c>
    </row>
    <row r="3" spans="1:47" ht="30" customHeight="1">
      <c r="C3" s="489" t="s">
        <v>134</v>
      </c>
      <c r="D3" s="490"/>
      <c r="E3" s="490"/>
      <c r="F3" s="490"/>
      <c r="G3" s="490"/>
      <c r="H3" s="494">
        <v>1819893.3721166668</v>
      </c>
      <c r="I3" s="493">
        <v>197871.23859641407</v>
      </c>
      <c r="J3" s="494">
        <v>9.1973618047067092</v>
      </c>
      <c r="K3" s="495">
        <v>125877.30900975279</v>
      </c>
      <c r="L3" s="496">
        <v>0.3638423153225564</v>
      </c>
      <c r="M3" s="493">
        <v>69692.521395399861</v>
      </c>
      <c r="N3" s="496">
        <v>0.44634563652770665</v>
      </c>
      <c r="O3" s="494">
        <v>26.113180233378543</v>
      </c>
      <c r="P3" s="493">
        <v>20783.689530523097</v>
      </c>
      <c r="Q3" s="497">
        <v>0.16511069146634527</v>
      </c>
      <c r="R3" s="499">
        <v>87.563537236444773</v>
      </c>
      <c r="S3" s="492">
        <v>1249848.3447</v>
      </c>
      <c r="T3" s="493">
        <v>173011.51420172749</v>
      </c>
      <c r="U3" s="494">
        <v>7.2240760995982338</v>
      </c>
      <c r="V3" s="495">
        <v>102645.97546992417</v>
      </c>
      <c r="W3" s="496">
        <v>0.40671014906995551</v>
      </c>
      <c r="X3" s="493">
        <v>54794.135468581313</v>
      </c>
      <c r="Y3" s="496">
        <v>0.46618330414097636</v>
      </c>
      <c r="Z3" s="494">
        <v>22.809892591820468</v>
      </c>
      <c r="AA3" s="493">
        <v>15722.437287397917</v>
      </c>
      <c r="AB3" s="497">
        <v>0.15317149274892591</v>
      </c>
      <c r="AC3" s="499">
        <v>79.4945670224932</v>
      </c>
      <c r="AD3" s="492">
        <v>570045.02741666674</v>
      </c>
      <c r="AE3" s="493">
        <v>24859.724394686575</v>
      </c>
      <c r="AF3" s="494">
        <v>22.930464488114197</v>
      </c>
      <c r="AG3" s="495">
        <v>23231.333539828611</v>
      </c>
      <c r="AH3" s="496">
        <v>6.550317409013634E-2</v>
      </c>
      <c r="AI3" s="493">
        <v>14898.385926818548</v>
      </c>
      <c r="AJ3" s="496">
        <v>0.35869432973891774</v>
      </c>
      <c r="AK3" s="494">
        <v>38.26220036296214</v>
      </c>
      <c r="AL3" s="493">
        <v>5061.25224312518</v>
      </c>
      <c r="AM3" s="497">
        <v>0.21786318182931652</v>
      </c>
      <c r="AN3" s="499">
        <v>112.62924668316474</v>
      </c>
      <c r="AO3" s="614">
        <v>0.85</v>
      </c>
      <c r="AP3" s="497">
        <v>0.75</v>
      </c>
      <c r="AQ3" s="657">
        <v>0.8</v>
      </c>
      <c r="AR3" s="500" t="s">
        <v>123</v>
      </c>
      <c r="AS3" s="649" t="s">
        <v>123</v>
      </c>
      <c r="AT3" s="770"/>
      <c r="AU3" s="771"/>
    </row>
    <row r="4" spans="1:47" ht="30" hidden="1" customHeight="1" thickBot="1">
      <c r="C4" s="658" t="s">
        <v>135</v>
      </c>
      <c r="D4" s="490"/>
      <c r="E4" s="490"/>
      <c r="F4" s="490"/>
      <c r="G4" s="490"/>
      <c r="H4" s="494">
        <v>139991.79785512821</v>
      </c>
      <c r="I4" s="493">
        <v>15220.864507416467</v>
      </c>
      <c r="J4" s="494">
        <v>9.1973618047067092</v>
      </c>
      <c r="K4" s="495">
        <v>9682.8699238271383</v>
      </c>
      <c r="L4" s="503">
        <v>0.36384231532255634</v>
      </c>
      <c r="M4" s="493">
        <v>5360.9631842615281</v>
      </c>
      <c r="N4" s="496">
        <v>0.44634563652770665</v>
      </c>
      <c r="O4" s="494">
        <v>26.113180233378539</v>
      </c>
      <c r="P4" s="504">
        <v>1598.7453485017768</v>
      </c>
      <c r="Q4" s="497">
        <v>0.16511069146634527</v>
      </c>
      <c r="R4" s="499">
        <v>87.563537236444773</v>
      </c>
      <c r="S4" s="492">
        <v>96142.180361538456</v>
      </c>
      <c r="T4" s="493">
        <v>13308.5780155175</v>
      </c>
      <c r="U4" s="494">
        <v>7.2240760995982329</v>
      </c>
      <c r="V4" s="495">
        <v>7895.8442669172446</v>
      </c>
      <c r="W4" s="503">
        <v>0.40671014906995551</v>
      </c>
      <c r="X4" s="493">
        <v>4214.933497583178</v>
      </c>
      <c r="Y4" s="496">
        <v>0.46618330414097636</v>
      </c>
      <c r="Z4" s="494">
        <v>22.809892591820464</v>
      </c>
      <c r="AA4" s="504">
        <v>1209.4182528767628</v>
      </c>
      <c r="AB4" s="497">
        <v>0.15317149274892589</v>
      </c>
      <c r="AC4" s="499">
        <v>79.4945670224932</v>
      </c>
      <c r="AD4" s="492">
        <v>43849.617493589751</v>
      </c>
      <c r="AE4" s="493">
        <v>1912.2864918989674</v>
      </c>
      <c r="AF4" s="494">
        <v>22.930464488114197</v>
      </c>
      <c r="AG4" s="495">
        <v>1787.0256569098931</v>
      </c>
      <c r="AH4" s="503">
        <v>6.550317409013641E-2</v>
      </c>
      <c r="AI4" s="493">
        <v>1146.0296866783499</v>
      </c>
      <c r="AJ4" s="496">
        <v>0.35869432973891768</v>
      </c>
      <c r="AK4" s="494">
        <v>38.26220036296214</v>
      </c>
      <c r="AL4" s="504">
        <v>389.32709562501384</v>
      </c>
      <c r="AM4" s="497">
        <v>0.21786318182931652</v>
      </c>
      <c r="AN4" s="499">
        <v>112.62924668316474</v>
      </c>
      <c r="AO4" s="659">
        <v>0.85</v>
      </c>
      <c r="AP4" s="497">
        <v>0.75</v>
      </c>
      <c r="AQ4" s="660">
        <v>0.8</v>
      </c>
      <c r="AR4" s="500" t="s">
        <v>123</v>
      </c>
      <c r="AS4" s="649" t="s">
        <v>123</v>
      </c>
      <c r="AT4" s="772"/>
      <c r="AU4" s="773"/>
    </row>
    <row r="5" spans="1:47" ht="30" hidden="1" customHeight="1" thickBot="1">
      <c r="C5" s="505" t="s">
        <v>136</v>
      </c>
      <c r="D5" s="506"/>
      <c r="E5" s="506"/>
      <c r="F5" s="506"/>
      <c r="G5" s="506"/>
      <c r="H5" s="510">
        <v>1839948.1</v>
      </c>
      <c r="I5" s="509">
        <v>194135</v>
      </c>
      <c r="J5" s="510">
        <v>9.4776732686017464</v>
      </c>
      <c r="K5" s="511">
        <v>130474</v>
      </c>
      <c r="L5" s="512">
        <v>0.32792129188451336</v>
      </c>
      <c r="M5" s="509">
        <v>42928</v>
      </c>
      <c r="N5" s="513">
        <v>0.67098425739994172</v>
      </c>
      <c r="O5" s="514">
        <v>42.861258386134928</v>
      </c>
      <c r="P5" s="509">
        <v>20835</v>
      </c>
      <c r="Q5" s="515">
        <v>0.15968698744577464</v>
      </c>
      <c r="R5" s="517">
        <v>88.310443964482843</v>
      </c>
      <c r="S5" s="508">
        <v>1227252.82</v>
      </c>
      <c r="T5" s="509">
        <v>168753</v>
      </c>
      <c r="U5" s="514">
        <v>7.2724800151701015</v>
      </c>
      <c r="V5" s="511">
        <v>106953</v>
      </c>
      <c r="W5" s="512">
        <v>0.36621571172068051</v>
      </c>
      <c r="X5" s="509">
        <v>32229</v>
      </c>
      <c r="Y5" s="513">
        <v>0.69866202911559283</v>
      </c>
      <c r="Z5" s="514">
        <v>38.079146731204816</v>
      </c>
      <c r="AA5" s="509">
        <v>15803</v>
      </c>
      <c r="AB5" s="515">
        <v>0.14775649116901818</v>
      </c>
      <c r="AC5" s="517">
        <v>77.659483642346387</v>
      </c>
      <c r="AD5" s="508">
        <v>612695.28</v>
      </c>
      <c r="AE5" s="509">
        <v>25382</v>
      </c>
      <c r="AF5" s="514">
        <v>24.138967772437162</v>
      </c>
      <c r="AG5" s="511">
        <v>23521</v>
      </c>
      <c r="AH5" s="512">
        <v>7.3319675360491693E-2</v>
      </c>
      <c r="AI5" s="509">
        <v>10699</v>
      </c>
      <c r="AJ5" s="513">
        <v>0.54512988393350625</v>
      </c>
      <c r="AK5" s="514">
        <v>57.266593139545755</v>
      </c>
      <c r="AL5" s="509">
        <v>5032</v>
      </c>
      <c r="AM5" s="515">
        <v>0.21393648229241954</v>
      </c>
      <c r="AN5" s="517">
        <v>121.75979332273451</v>
      </c>
      <c r="AO5" s="619" t="s">
        <v>123</v>
      </c>
      <c r="AP5" s="515" t="s">
        <v>123</v>
      </c>
      <c r="AQ5" s="620">
        <v>0.79259999999999997</v>
      </c>
      <c r="AR5" s="518">
        <v>0.91700000000000004</v>
      </c>
      <c r="AS5" s="621">
        <v>2.2999999999999998</v>
      </c>
      <c r="AT5" s="521"/>
      <c r="AU5" s="661"/>
    </row>
    <row r="6" spans="1:47" ht="30" hidden="1" customHeight="1">
      <c r="C6" s="523" t="s">
        <v>137</v>
      </c>
      <c r="D6" s="524"/>
      <c r="E6" s="524"/>
      <c r="F6" s="524"/>
      <c r="G6" s="524"/>
      <c r="H6" s="528">
        <v>849566.37</v>
      </c>
      <c r="I6" s="527">
        <v>91482</v>
      </c>
      <c r="J6" s="528">
        <v>9.2867052534924905</v>
      </c>
      <c r="K6" s="529">
        <v>67745</v>
      </c>
      <c r="L6" s="530">
        <v>0.25947180866181324</v>
      </c>
      <c r="M6" s="527">
        <v>23956.251094371713</v>
      </c>
      <c r="N6" s="531">
        <v>0.64637610016426728</v>
      </c>
      <c r="O6" s="532">
        <v>35.463243670859555</v>
      </c>
      <c r="P6" s="527">
        <v>11256</v>
      </c>
      <c r="Q6" s="533">
        <v>0.16615248357812384</v>
      </c>
      <c r="R6" s="535">
        <v>75.476756396588485</v>
      </c>
      <c r="S6" s="526">
        <v>421148.94</v>
      </c>
      <c r="T6" s="527">
        <v>67216</v>
      </c>
      <c r="U6" s="532">
        <v>6.2656055105927164</v>
      </c>
      <c r="V6" s="529">
        <v>43032</v>
      </c>
      <c r="W6" s="530">
        <v>0.3597952868364675</v>
      </c>
      <c r="X6" s="527">
        <v>13414.265077717759</v>
      </c>
      <c r="Y6" s="531">
        <v>0.68827233041183866</v>
      </c>
      <c r="Z6" s="532">
        <v>31.395602931655525</v>
      </c>
      <c r="AA6" s="527">
        <v>6439</v>
      </c>
      <c r="AB6" s="533">
        <v>0.14963283138129763</v>
      </c>
      <c r="AC6" s="535">
        <v>65.405954340736145</v>
      </c>
      <c r="AD6" s="526">
        <v>428417.43</v>
      </c>
      <c r="AE6" s="527">
        <v>24266</v>
      </c>
      <c r="AF6" s="532">
        <v>17.65504945190802</v>
      </c>
      <c r="AG6" s="529">
        <v>24713</v>
      </c>
      <c r="AH6" s="530">
        <v>-1.8420835737245529E-2</v>
      </c>
      <c r="AI6" s="527">
        <v>10541.986016653953</v>
      </c>
      <c r="AJ6" s="531">
        <v>0.57342346066224448</v>
      </c>
      <c r="AK6" s="532">
        <v>40.639157491121445</v>
      </c>
      <c r="AL6" s="527">
        <v>4817</v>
      </c>
      <c r="AM6" s="533">
        <v>0.19491765467567676</v>
      </c>
      <c r="AN6" s="535">
        <v>88.938640232509854</v>
      </c>
      <c r="AO6" s="624" t="s">
        <v>123</v>
      </c>
      <c r="AP6" s="533" t="s">
        <v>123</v>
      </c>
      <c r="AQ6" s="625">
        <v>0.85489999999999999</v>
      </c>
      <c r="AR6" s="536"/>
      <c r="AS6" s="626"/>
      <c r="AT6" s="539"/>
      <c r="AU6" s="540"/>
    </row>
    <row r="7" spans="1:47" ht="49.95" customHeight="1">
      <c r="C7" s="758" t="s">
        <v>138</v>
      </c>
      <c r="D7" s="541"/>
      <c r="E7" s="541"/>
      <c r="F7" s="541"/>
      <c r="G7" s="541" t="s">
        <v>139</v>
      </c>
      <c r="H7" s="545">
        <v>44384.959999999999</v>
      </c>
      <c r="I7" s="544">
        <v>4687</v>
      </c>
      <c r="J7" s="545">
        <v>9.4698015788350762</v>
      </c>
      <c r="K7" s="546">
        <v>2896</v>
      </c>
      <c r="L7" s="547">
        <v>0.3821207595476851</v>
      </c>
      <c r="M7" s="544">
        <v>988</v>
      </c>
      <c r="N7" s="548">
        <v>0.65883977900552482</v>
      </c>
      <c r="O7" s="549">
        <v>44.924048582995951</v>
      </c>
      <c r="P7" s="544">
        <v>327</v>
      </c>
      <c r="Q7" s="548">
        <v>0.11291436464088397</v>
      </c>
      <c r="R7" s="551">
        <v>135.73382262996941</v>
      </c>
      <c r="S7" s="543">
        <v>30247.39</v>
      </c>
      <c r="T7" s="544">
        <v>4110</v>
      </c>
      <c r="U7" s="545">
        <v>7.3594622871046225</v>
      </c>
      <c r="V7" s="546">
        <v>2177</v>
      </c>
      <c r="W7" s="547">
        <v>0.47031630170316302</v>
      </c>
      <c r="X7" s="544">
        <v>561</v>
      </c>
      <c r="Y7" s="548">
        <v>0.74230592558566832</v>
      </c>
      <c r="Z7" s="549">
        <v>53.916916221033865</v>
      </c>
      <c r="AA7" s="629">
        <v>178</v>
      </c>
      <c r="AB7" s="548">
        <v>8.1763895268718426E-2</v>
      </c>
      <c r="AC7" s="551">
        <v>169.92915730337077</v>
      </c>
      <c r="AD7" s="552">
        <v>14137.57</v>
      </c>
      <c r="AE7" s="553">
        <v>577</v>
      </c>
      <c r="AF7" s="549">
        <v>24.501854419410744</v>
      </c>
      <c r="AG7" s="546">
        <v>719</v>
      </c>
      <c r="AH7" s="547">
        <v>-0.24610051993067592</v>
      </c>
      <c r="AI7" s="553">
        <v>427</v>
      </c>
      <c r="AJ7" s="548">
        <v>0.40611961057023643</v>
      </c>
      <c r="AK7" s="549">
        <v>33.109063231850115</v>
      </c>
      <c r="AL7" s="554">
        <v>149</v>
      </c>
      <c r="AM7" s="548">
        <v>0.20723226703755215</v>
      </c>
      <c r="AN7" s="551">
        <v>94.88302013422819</v>
      </c>
      <c r="AO7" s="630">
        <v>0.90849999999999997</v>
      </c>
      <c r="AP7" s="555">
        <v>0.79239999999999999</v>
      </c>
      <c r="AQ7" s="631">
        <v>0.8075</v>
      </c>
      <c r="AR7" s="632">
        <v>0.81940000000000002</v>
      </c>
      <c r="AS7" s="633">
        <v>1.9</v>
      </c>
      <c r="AT7" s="579"/>
      <c r="AU7" s="580"/>
    </row>
    <row r="8" spans="1:47" ht="21" hidden="1" customHeight="1">
      <c r="A8" t="s">
        <v>465</v>
      </c>
      <c r="B8" t="s">
        <v>466</v>
      </c>
      <c r="C8" s="759"/>
      <c r="D8" s="561" t="s">
        <v>40</v>
      </c>
      <c r="E8" s="561" t="s">
        <v>142</v>
      </c>
      <c r="F8" s="561" t="s">
        <v>44</v>
      </c>
      <c r="G8" s="561" t="s">
        <v>42</v>
      </c>
      <c r="H8" s="565">
        <v>230.09</v>
      </c>
      <c r="I8" s="564">
        <v>15</v>
      </c>
      <c r="J8" s="565">
        <v>15.339333333333334</v>
      </c>
      <c r="K8" s="566">
        <v>21</v>
      </c>
      <c r="L8" s="567">
        <v>-0.4</v>
      </c>
      <c r="M8" s="564">
        <v>9</v>
      </c>
      <c r="N8" s="568">
        <v>0.5714285714285714</v>
      </c>
      <c r="O8" s="565">
        <v>25.565555555555555</v>
      </c>
      <c r="P8" s="564">
        <v>6</v>
      </c>
      <c r="Q8" s="569">
        <v>0.2857142857142857</v>
      </c>
      <c r="R8" s="571">
        <v>38.348333333333336</v>
      </c>
      <c r="S8" s="563" t="s">
        <v>123</v>
      </c>
      <c r="T8" s="564" t="s">
        <v>123</v>
      </c>
      <c r="U8" s="565" t="s">
        <v>123</v>
      </c>
      <c r="V8" s="566" t="s">
        <v>123</v>
      </c>
      <c r="W8" s="567" t="s">
        <v>123</v>
      </c>
      <c r="X8" s="564" t="s">
        <v>123</v>
      </c>
      <c r="Y8" s="568" t="s">
        <v>123</v>
      </c>
      <c r="Z8" s="565" t="s">
        <v>123</v>
      </c>
      <c r="AA8" s="591" t="s">
        <v>123</v>
      </c>
      <c r="AB8" s="569" t="s">
        <v>123</v>
      </c>
      <c r="AC8" s="571" t="s">
        <v>123</v>
      </c>
      <c r="AD8" s="572">
        <v>230.09</v>
      </c>
      <c r="AE8" s="573">
        <v>15</v>
      </c>
      <c r="AF8" s="650">
        <v>15.339333333333334</v>
      </c>
      <c r="AG8" s="566">
        <v>21</v>
      </c>
      <c r="AH8" s="567">
        <v>-0.4</v>
      </c>
      <c r="AI8" s="564">
        <v>9</v>
      </c>
      <c r="AJ8" s="568">
        <v>0.5714285714285714</v>
      </c>
      <c r="AK8" s="565">
        <v>25.565555555555555</v>
      </c>
      <c r="AL8" s="574">
        <v>6</v>
      </c>
      <c r="AM8" s="569">
        <v>0.2857142857142857</v>
      </c>
      <c r="AN8" s="571">
        <v>38.348333333333336</v>
      </c>
      <c r="AO8" s="635"/>
      <c r="AP8" s="575"/>
      <c r="AQ8" s="636"/>
      <c r="AR8" s="637"/>
      <c r="AS8" s="638"/>
      <c r="AT8" s="579"/>
      <c r="AU8" s="580"/>
    </row>
    <row r="9" spans="1:47" ht="21" hidden="1" customHeight="1">
      <c r="A9" t="s">
        <v>467</v>
      </c>
      <c r="B9" t="s">
        <v>468</v>
      </c>
      <c r="C9" s="759"/>
      <c r="D9" s="561" t="s">
        <v>52</v>
      </c>
      <c r="E9" s="561" t="s">
        <v>145</v>
      </c>
      <c r="F9" s="561" t="s">
        <v>44</v>
      </c>
      <c r="G9" s="561" t="s">
        <v>42</v>
      </c>
      <c r="H9" s="565">
        <v>4386.83</v>
      </c>
      <c r="I9" s="564">
        <v>208</v>
      </c>
      <c r="J9" s="565">
        <v>21.090528846153845</v>
      </c>
      <c r="K9" s="566">
        <v>370</v>
      </c>
      <c r="L9" s="567">
        <v>-0.77884615384615385</v>
      </c>
      <c r="M9" s="564">
        <v>262</v>
      </c>
      <c r="N9" s="568">
        <v>0.29189189189189191</v>
      </c>
      <c r="O9" s="565">
        <v>16.743625954198475</v>
      </c>
      <c r="P9" s="564">
        <v>51</v>
      </c>
      <c r="Q9" s="569">
        <v>0.13783783783783785</v>
      </c>
      <c r="R9" s="571">
        <v>86.016274509803921</v>
      </c>
      <c r="S9" s="563" t="s">
        <v>123</v>
      </c>
      <c r="T9" s="564" t="s">
        <v>123</v>
      </c>
      <c r="U9" s="565" t="s">
        <v>123</v>
      </c>
      <c r="V9" s="566" t="s">
        <v>123</v>
      </c>
      <c r="W9" s="567" t="s">
        <v>123</v>
      </c>
      <c r="X9" s="564" t="s">
        <v>123</v>
      </c>
      <c r="Y9" s="568" t="s">
        <v>123</v>
      </c>
      <c r="Z9" s="565" t="s">
        <v>123</v>
      </c>
      <c r="AA9" s="591" t="s">
        <v>123</v>
      </c>
      <c r="AB9" s="569" t="s">
        <v>123</v>
      </c>
      <c r="AC9" s="571" t="s">
        <v>123</v>
      </c>
      <c r="AD9" s="572">
        <v>4386.83</v>
      </c>
      <c r="AE9" s="573">
        <v>208</v>
      </c>
      <c r="AF9" s="650">
        <v>21.090528846153845</v>
      </c>
      <c r="AG9" s="566">
        <v>370</v>
      </c>
      <c r="AH9" s="567">
        <v>-0.77884615384615385</v>
      </c>
      <c r="AI9" s="564">
        <v>262</v>
      </c>
      <c r="AJ9" s="568">
        <v>0.29189189189189191</v>
      </c>
      <c r="AK9" s="565">
        <v>16.743625954198475</v>
      </c>
      <c r="AL9" s="574">
        <v>51</v>
      </c>
      <c r="AM9" s="569">
        <v>0.13783783783783785</v>
      </c>
      <c r="AN9" s="571">
        <v>86.016274509803921</v>
      </c>
      <c r="AO9" s="635"/>
      <c r="AP9" s="575"/>
      <c r="AQ9" s="636"/>
      <c r="AR9" s="637"/>
      <c r="AS9" s="638"/>
      <c r="AT9" s="579"/>
      <c r="AU9" s="580"/>
    </row>
    <row r="10" spans="1:47" ht="21" hidden="1" customHeight="1">
      <c r="A10" t="s">
        <v>469</v>
      </c>
      <c r="B10" t="s">
        <v>470</v>
      </c>
      <c r="C10" s="759"/>
      <c r="D10" s="561" t="s">
        <v>40</v>
      </c>
      <c r="E10" s="561" t="s">
        <v>57</v>
      </c>
      <c r="F10" s="561" t="s">
        <v>57</v>
      </c>
      <c r="G10" s="561" t="s">
        <v>42</v>
      </c>
      <c r="H10" s="565">
        <v>6000</v>
      </c>
      <c r="I10" s="564">
        <v>835</v>
      </c>
      <c r="J10" s="565">
        <v>7.1856287425149699</v>
      </c>
      <c r="K10" s="566">
        <v>501</v>
      </c>
      <c r="L10" s="567">
        <v>0.4</v>
      </c>
      <c r="M10" s="564">
        <v>158</v>
      </c>
      <c r="N10" s="568">
        <v>0.68463073852295409</v>
      </c>
      <c r="O10" s="565">
        <v>37.974683544303801</v>
      </c>
      <c r="P10" s="564">
        <v>15</v>
      </c>
      <c r="Q10" s="569">
        <v>2.9940119760479042E-2</v>
      </c>
      <c r="R10" s="571">
        <v>400</v>
      </c>
      <c r="S10" s="563">
        <v>6000</v>
      </c>
      <c r="T10" s="564">
        <v>835</v>
      </c>
      <c r="U10" s="565">
        <v>7.1856287425149699</v>
      </c>
      <c r="V10" s="566">
        <v>501</v>
      </c>
      <c r="W10" s="567">
        <v>0.4</v>
      </c>
      <c r="X10" s="564">
        <v>158</v>
      </c>
      <c r="Y10" s="568">
        <v>0.68463073852295409</v>
      </c>
      <c r="Z10" s="565">
        <v>37.974683544303801</v>
      </c>
      <c r="AA10" s="591">
        <v>15</v>
      </c>
      <c r="AB10" s="569">
        <v>2.9940119760479042E-2</v>
      </c>
      <c r="AC10" s="571">
        <v>400</v>
      </c>
      <c r="AD10" s="572" t="s">
        <v>123</v>
      </c>
      <c r="AE10" s="573" t="s">
        <v>123</v>
      </c>
      <c r="AF10" s="650" t="s">
        <v>123</v>
      </c>
      <c r="AG10" s="566" t="s">
        <v>123</v>
      </c>
      <c r="AH10" s="567" t="s">
        <v>123</v>
      </c>
      <c r="AI10" s="564" t="s">
        <v>123</v>
      </c>
      <c r="AJ10" s="568" t="s">
        <v>123</v>
      </c>
      <c r="AK10" s="565" t="s">
        <v>123</v>
      </c>
      <c r="AL10" s="574" t="s">
        <v>123</v>
      </c>
      <c r="AM10" s="569" t="s">
        <v>123</v>
      </c>
      <c r="AN10" s="571" t="s">
        <v>123</v>
      </c>
      <c r="AO10" s="635"/>
      <c r="AP10" s="575"/>
      <c r="AQ10" s="636"/>
      <c r="AR10" s="637"/>
      <c r="AS10" s="638"/>
      <c r="AT10" s="579"/>
      <c r="AU10" s="580"/>
    </row>
    <row r="11" spans="1:47" ht="21" hidden="1" customHeight="1">
      <c r="A11" t="s">
        <v>471</v>
      </c>
      <c r="B11" t="s">
        <v>472</v>
      </c>
      <c r="C11" s="759"/>
      <c r="D11" s="561" t="s">
        <v>52</v>
      </c>
      <c r="E11" s="561" t="s">
        <v>121</v>
      </c>
      <c r="F11" s="561" t="s">
        <v>44</v>
      </c>
      <c r="G11" s="561" t="s">
        <v>42</v>
      </c>
      <c r="H11" s="565">
        <v>0</v>
      </c>
      <c r="I11" s="564">
        <v>0</v>
      </c>
      <c r="J11" s="565" t="s">
        <v>123</v>
      </c>
      <c r="K11" s="566">
        <v>0</v>
      </c>
      <c r="L11" s="567" t="s">
        <v>123</v>
      </c>
      <c r="M11" s="564">
        <v>0</v>
      </c>
      <c r="N11" s="568" t="s">
        <v>123</v>
      </c>
      <c r="O11" s="565" t="s">
        <v>123</v>
      </c>
      <c r="P11" s="564">
        <v>0</v>
      </c>
      <c r="Q11" s="569" t="s">
        <v>123</v>
      </c>
      <c r="R11" s="571" t="s">
        <v>123</v>
      </c>
      <c r="S11" s="563" t="s">
        <v>123</v>
      </c>
      <c r="T11" s="564" t="s">
        <v>123</v>
      </c>
      <c r="U11" s="565" t="s">
        <v>123</v>
      </c>
      <c r="V11" s="566" t="s">
        <v>123</v>
      </c>
      <c r="W11" s="567" t="s">
        <v>123</v>
      </c>
      <c r="X11" s="564" t="s">
        <v>123</v>
      </c>
      <c r="Y11" s="568" t="s">
        <v>123</v>
      </c>
      <c r="Z11" s="565" t="s">
        <v>123</v>
      </c>
      <c r="AA11" s="591" t="s">
        <v>123</v>
      </c>
      <c r="AB11" s="569" t="s">
        <v>123</v>
      </c>
      <c r="AC11" s="571" t="s">
        <v>123</v>
      </c>
      <c r="AD11" s="572">
        <v>0</v>
      </c>
      <c r="AE11" s="573">
        <v>0</v>
      </c>
      <c r="AF11" s="650" t="s">
        <v>123</v>
      </c>
      <c r="AG11" s="566">
        <v>0</v>
      </c>
      <c r="AH11" s="567" t="s">
        <v>123</v>
      </c>
      <c r="AI11" s="564">
        <v>0</v>
      </c>
      <c r="AJ11" s="568" t="s">
        <v>123</v>
      </c>
      <c r="AK11" s="565" t="s">
        <v>123</v>
      </c>
      <c r="AL11" s="574">
        <v>0</v>
      </c>
      <c r="AM11" s="569" t="s">
        <v>123</v>
      </c>
      <c r="AN11" s="571" t="s">
        <v>123</v>
      </c>
      <c r="AO11" s="635"/>
      <c r="AP11" s="575"/>
      <c r="AQ11" s="636"/>
      <c r="AR11" s="637"/>
      <c r="AS11" s="638"/>
      <c r="AT11" s="579"/>
      <c r="AU11" s="580"/>
    </row>
    <row r="12" spans="1:47" ht="21" hidden="1" customHeight="1">
      <c r="A12" t="s">
        <v>473</v>
      </c>
      <c r="B12" t="s">
        <v>474</v>
      </c>
      <c r="C12" s="759"/>
      <c r="D12" s="561" t="s">
        <v>40</v>
      </c>
      <c r="E12" s="561" t="s">
        <v>142</v>
      </c>
      <c r="F12" s="561" t="s">
        <v>44</v>
      </c>
      <c r="G12" s="561" t="s">
        <v>60</v>
      </c>
      <c r="H12" s="565">
        <v>1348.9</v>
      </c>
      <c r="I12" s="564">
        <v>58</v>
      </c>
      <c r="J12" s="565">
        <v>23.256896551724139</v>
      </c>
      <c r="K12" s="566">
        <v>61</v>
      </c>
      <c r="L12" s="567">
        <v>-5.1724137931034482E-2</v>
      </c>
      <c r="M12" s="564">
        <v>41</v>
      </c>
      <c r="N12" s="568">
        <v>0.32786885245901637</v>
      </c>
      <c r="O12" s="565">
        <v>32.900000000000006</v>
      </c>
      <c r="P12" s="564">
        <v>16</v>
      </c>
      <c r="Q12" s="569">
        <v>0.26229508196721313</v>
      </c>
      <c r="R12" s="571">
        <v>84.306250000000006</v>
      </c>
      <c r="S12" s="563" t="s">
        <v>123</v>
      </c>
      <c r="T12" s="564" t="s">
        <v>123</v>
      </c>
      <c r="U12" s="565" t="s">
        <v>123</v>
      </c>
      <c r="V12" s="566" t="s">
        <v>123</v>
      </c>
      <c r="W12" s="567" t="s">
        <v>123</v>
      </c>
      <c r="X12" s="564" t="s">
        <v>123</v>
      </c>
      <c r="Y12" s="568" t="s">
        <v>123</v>
      </c>
      <c r="Z12" s="565" t="s">
        <v>123</v>
      </c>
      <c r="AA12" s="591" t="s">
        <v>123</v>
      </c>
      <c r="AB12" s="569" t="s">
        <v>123</v>
      </c>
      <c r="AC12" s="571" t="s">
        <v>123</v>
      </c>
      <c r="AD12" s="572">
        <v>1348.9</v>
      </c>
      <c r="AE12" s="573">
        <v>58</v>
      </c>
      <c r="AF12" s="650">
        <v>23.256896551724139</v>
      </c>
      <c r="AG12" s="566">
        <v>61</v>
      </c>
      <c r="AH12" s="567">
        <v>-5.1724137931034482E-2</v>
      </c>
      <c r="AI12" s="564">
        <v>41</v>
      </c>
      <c r="AJ12" s="568">
        <v>0.32786885245901637</v>
      </c>
      <c r="AK12" s="565">
        <v>32.900000000000006</v>
      </c>
      <c r="AL12" s="574">
        <v>16</v>
      </c>
      <c r="AM12" s="569">
        <v>0.26229508196721313</v>
      </c>
      <c r="AN12" s="571">
        <v>84.306250000000006</v>
      </c>
      <c r="AO12" s="635"/>
      <c r="AP12" s="575"/>
      <c r="AQ12" s="636"/>
      <c r="AR12" s="637"/>
      <c r="AS12" s="638"/>
      <c r="AT12" s="579"/>
      <c r="AU12" s="580"/>
    </row>
    <row r="13" spans="1:47" ht="21" hidden="1" customHeight="1">
      <c r="A13" t="s">
        <v>475</v>
      </c>
      <c r="B13" t="s">
        <v>476</v>
      </c>
      <c r="C13" s="759"/>
      <c r="D13" s="561" t="s">
        <v>52</v>
      </c>
      <c r="E13" s="561" t="s">
        <v>145</v>
      </c>
      <c r="F13" s="561" t="s">
        <v>44</v>
      </c>
      <c r="G13" s="561" t="s">
        <v>60</v>
      </c>
      <c r="H13" s="565">
        <v>8171.75</v>
      </c>
      <c r="I13" s="564">
        <v>296</v>
      </c>
      <c r="J13" s="565">
        <v>27.607263513513512</v>
      </c>
      <c r="K13" s="566">
        <v>267</v>
      </c>
      <c r="L13" s="567">
        <v>9.7972972972972971E-2</v>
      </c>
      <c r="M13" s="564">
        <v>115</v>
      </c>
      <c r="N13" s="568">
        <v>0.56928838951310856</v>
      </c>
      <c r="O13" s="565">
        <v>71.05869565217391</v>
      </c>
      <c r="P13" s="564">
        <v>76</v>
      </c>
      <c r="Q13" s="569">
        <v>0.28464419475655428</v>
      </c>
      <c r="R13" s="571">
        <v>107.52302631578948</v>
      </c>
      <c r="S13" s="563" t="s">
        <v>123</v>
      </c>
      <c r="T13" s="564" t="s">
        <v>123</v>
      </c>
      <c r="U13" s="565" t="s">
        <v>123</v>
      </c>
      <c r="V13" s="566" t="s">
        <v>123</v>
      </c>
      <c r="W13" s="567" t="s">
        <v>123</v>
      </c>
      <c r="X13" s="564" t="s">
        <v>123</v>
      </c>
      <c r="Y13" s="568" t="s">
        <v>123</v>
      </c>
      <c r="Z13" s="565" t="s">
        <v>123</v>
      </c>
      <c r="AA13" s="591" t="s">
        <v>123</v>
      </c>
      <c r="AB13" s="569" t="s">
        <v>123</v>
      </c>
      <c r="AC13" s="571" t="s">
        <v>123</v>
      </c>
      <c r="AD13" s="572">
        <v>8171.75</v>
      </c>
      <c r="AE13" s="573">
        <v>296</v>
      </c>
      <c r="AF13" s="650">
        <v>27.607263513513512</v>
      </c>
      <c r="AG13" s="566">
        <v>267</v>
      </c>
      <c r="AH13" s="567">
        <v>9.7972972972972971E-2</v>
      </c>
      <c r="AI13" s="564">
        <v>115</v>
      </c>
      <c r="AJ13" s="568">
        <v>0.56928838951310856</v>
      </c>
      <c r="AK13" s="565">
        <v>71.05869565217391</v>
      </c>
      <c r="AL13" s="574">
        <v>76</v>
      </c>
      <c r="AM13" s="569">
        <v>0.28464419475655428</v>
      </c>
      <c r="AN13" s="571">
        <v>107.52302631578948</v>
      </c>
      <c r="AO13" s="635"/>
      <c r="AP13" s="575"/>
      <c r="AQ13" s="636"/>
      <c r="AR13" s="637"/>
      <c r="AS13" s="638"/>
      <c r="AT13" s="579"/>
      <c r="AU13" s="580"/>
    </row>
    <row r="14" spans="1:47" ht="21" hidden="1" customHeight="1">
      <c r="A14" t="s">
        <v>477</v>
      </c>
      <c r="B14" t="s">
        <v>478</v>
      </c>
      <c r="C14" s="760"/>
      <c r="D14" s="561" t="s">
        <v>40</v>
      </c>
      <c r="E14" s="561" t="s">
        <v>57</v>
      </c>
      <c r="F14" s="561" t="s">
        <v>57</v>
      </c>
      <c r="G14" s="561" t="s">
        <v>60</v>
      </c>
      <c r="H14" s="565">
        <v>24247.39</v>
      </c>
      <c r="I14" s="581">
        <v>3275</v>
      </c>
      <c r="J14" s="582">
        <v>7.40378320610687</v>
      </c>
      <c r="K14" s="566">
        <v>1676</v>
      </c>
      <c r="L14" s="567">
        <v>0.48824427480916033</v>
      </c>
      <c r="M14" s="564">
        <v>403</v>
      </c>
      <c r="N14" s="568">
        <v>0.75954653937947492</v>
      </c>
      <c r="O14" s="565">
        <v>60.167220843672453</v>
      </c>
      <c r="P14" s="564">
        <v>163</v>
      </c>
      <c r="Q14" s="569">
        <v>9.7255369928400962E-2</v>
      </c>
      <c r="R14" s="571">
        <v>148.75699386503067</v>
      </c>
      <c r="S14" s="563">
        <v>24247.39</v>
      </c>
      <c r="T14" s="564">
        <v>3275</v>
      </c>
      <c r="U14" s="565">
        <v>7.40378320610687</v>
      </c>
      <c r="V14" s="566">
        <v>1676</v>
      </c>
      <c r="W14" s="567">
        <v>0.48824427480916033</v>
      </c>
      <c r="X14" s="564">
        <v>403</v>
      </c>
      <c r="Y14" s="568">
        <v>0.75954653937947492</v>
      </c>
      <c r="Z14" s="565">
        <v>60.167220843672453</v>
      </c>
      <c r="AA14" s="591">
        <v>163</v>
      </c>
      <c r="AB14" s="569">
        <v>9.7255369928400962E-2</v>
      </c>
      <c r="AC14" s="571">
        <v>148.75699386503067</v>
      </c>
      <c r="AD14" s="572" t="s">
        <v>123</v>
      </c>
      <c r="AE14" s="573" t="s">
        <v>123</v>
      </c>
      <c r="AF14" s="650" t="s">
        <v>123</v>
      </c>
      <c r="AG14" s="566" t="s">
        <v>123</v>
      </c>
      <c r="AH14" s="567" t="s">
        <v>123</v>
      </c>
      <c r="AI14" s="564" t="s">
        <v>123</v>
      </c>
      <c r="AJ14" s="568" t="s">
        <v>123</v>
      </c>
      <c r="AK14" s="565" t="s">
        <v>123</v>
      </c>
      <c r="AL14" s="574" t="s">
        <v>123</v>
      </c>
      <c r="AM14" s="569" t="s">
        <v>123</v>
      </c>
      <c r="AN14" s="571" t="s">
        <v>123</v>
      </c>
      <c r="AO14" s="635"/>
      <c r="AP14" s="575"/>
      <c r="AQ14" s="636"/>
      <c r="AR14" s="637"/>
      <c r="AS14" s="638"/>
      <c r="AT14" s="579"/>
      <c r="AU14" s="580"/>
    </row>
    <row r="15" spans="1:47" ht="49.95" customHeight="1">
      <c r="C15" s="758" t="s">
        <v>156</v>
      </c>
      <c r="D15" s="541"/>
      <c r="E15" s="541"/>
      <c r="F15" s="541"/>
      <c r="G15" s="541" t="s">
        <v>139</v>
      </c>
      <c r="H15" s="545">
        <v>88109.299999999988</v>
      </c>
      <c r="I15" s="544">
        <v>10313</v>
      </c>
      <c r="J15" s="545">
        <v>8.5435178900416933</v>
      </c>
      <c r="K15" s="546">
        <v>6705</v>
      </c>
      <c r="L15" s="547">
        <v>0.34984970425676332</v>
      </c>
      <c r="M15" s="544">
        <v>2100</v>
      </c>
      <c r="N15" s="548">
        <v>0.68680089485458617</v>
      </c>
      <c r="O15" s="549">
        <v>41.956809523809518</v>
      </c>
      <c r="P15" s="544">
        <v>1024</v>
      </c>
      <c r="Q15" s="548">
        <v>0.15272184936614466</v>
      </c>
      <c r="R15" s="551">
        <v>86.044238281249989</v>
      </c>
      <c r="S15" s="543">
        <v>53091.82</v>
      </c>
      <c r="T15" s="544">
        <v>8897</v>
      </c>
      <c r="U15" s="545">
        <v>5.967384511633135</v>
      </c>
      <c r="V15" s="546">
        <v>5421</v>
      </c>
      <c r="W15" s="547">
        <v>0.39069349218837812</v>
      </c>
      <c r="X15" s="544">
        <v>1535</v>
      </c>
      <c r="Y15" s="548">
        <v>0.7168419110865154</v>
      </c>
      <c r="Z15" s="549">
        <v>34.587504885993482</v>
      </c>
      <c r="AA15" s="629">
        <v>725</v>
      </c>
      <c r="AB15" s="548">
        <v>0.13373916251614093</v>
      </c>
      <c r="AC15" s="551">
        <v>73.230096551724131</v>
      </c>
      <c r="AD15" s="552">
        <v>35017.479999999996</v>
      </c>
      <c r="AE15" s="553">
        <v>1416</v>
      </c>
      <c r="AF15" s="549">
        <v>24.729858757062143</v>
      </c>
      <c r="AG15" s="546">
        <v>1284</v>
      </c>
      <c r="AH15" s="547">
        <v>9.3220338983050849E-2</v>
      </c>
      <c r="AI15" s="553">
        <v>565</v>
      </c>
      <c r="AJ15" s="548">
        <v>0.5599688473520249</v>
      </c>
      <c r="AK15" s="549">
        <v>61.977840707964596</v>
      </c>
      <c r="AL15" s="554">
        <v>299</v>
      </c>
      <c r="AM15" s="548">
        <v>0.23286604361370716</v>
      </c>
      <c r="AN15" s="551">
        <v>117.11531772575249</v>
      </c>
      <c r="AO15" s="630">
        <v>0.86560000000000004</v>
      </c>
      <c r="AP15" s="555">
        <v>0.77110000000000001</v>
      </c>
      <c r="AQ15" s="631">
        <v>0.78420000000000001</v>
      </c>
      <c r="AR15" s="632">
        <v>0.78490000000000004</v>
      </c>
      <c r="AS15" s="633">
        <v>2.11</v>
      </c>
      <c r="AT15" s="583" t="s">
        <v>479</v>
      </c>
      <c r="AU15" s="589" t="s">
        <v>480</v>
      </c>
    </row>
    <row r="16" spans="1:47" ht="21" hidden="1" customHeight="1">
      <c r="A16" t="s">
        <v>481</v>
      </c>
      <c r="B16" t="s">
        <v>466</v>
      </c>
      <c r="C16" s="759"/>
      <c r="D16" s="561" t="s">
        <v>40</v>
      </c>
      <c r="E16" s="561" t="s">
        <v>142</v>
      </c>
      <c r="F16" s="561" t="s">
        <v>44</v>
      </c>
      <c r="G16" s="561" t="s">
        <v>42</v>
      </c>
      <c r="H16" s="565">
        <v>1332.69</v>
      </c>
      <c r="I16" s="564">
        <v>74</v>
      </c>
      <c r="J16" s="565">
        <v>18.009324324324325</v>
      </c>
      <c r="K16" s="566">
        <v>74</v>
      </c>
      <c r="L16" s="567">
        <v>0</v>
      </c>
      <c r="M16" s="564">
        <v>36</v>
      </c>
      <c r="N16" s="568">
        <v>0.51351351351351349</v>
      </c>
      <c r="O16" s="565">
        <v>37.019166666666671</v>
      </c>
      <c r="P16" s="564">
        <v>13</v>
      </c>
      <c r="Q16" s="569">
        <v>0.17567567567567569</v>
      </c>
      <c r="R16" s="571">
        <v>102.51461538461538</v>
      </c>
      <c r="S16" s="563" t="s">
        <v>123</v>
      </c>
      <c r="T16" s="564" t="s">
        <v>123</v>
      </c>
      <c r="U16" s="565" t="s">
        <v>123</v>
      </c>
      <c r="V16" s="566" t="s">
        <v>123</v>
      </c>
      <c r="W16" s="567" t="s">
        <v>123</v>
      </c>
      <c r="X16" s="564" t="s">
        <v>123</v>
      </c>
      <c r="Y16" s="568" t="s">
        <v>123</v>
      </c>
      <c r="Z16" s="565" t="s">
        <v>123</v>
      </c>
      <c r="AA16" s="591" t="s">
        <v>123</v>
      </c>
      <c r="AB16" s="569" t="s">
        <v>123</v>
      </c>
      <c r="AC16" s="571" t="s">
        <v>123</v>
      </c>
      <c r="AD16" s="572">
        <v>1332.69</v>
      </c>
      <c r="AE16" s="573">
        <v>74</v>
      </c>
      <c r="AF16" s="650">
        <v>18.009324324324325</v>
      </c>
      <c r="AG16" s="566">
        <v>74</v>
      </c>
      <c r="AH16" s="567">
        <v>0</v>
      </c>
      <c r="AI16" s="564">
        <v>36</v>
      </c>
      <c r="AJ16" s="568">
        <v>0.51351351351351349</v>
      </c>
      <c r="AK16" s="565">
        <v>37.019166666666671</v>
      </c>
      <c r="AL16" s="574">
        <v>13</v>
      </c>
      <c r="AM16" s="569">
        <v>0.17567567567567569</v>
      </c>
      <c r="AN16" s="571">
        <v>102.51461538461538</v>
      </c>
      <c r="AO16" s="635"/>
      <c r="AP16" s="575"/>
      <c r="AQ16" s="636"/>
      <c r="AR16" s="637"/>
      <c r="AS16" s="638"/>
      <c r="AT16" s="579"/>
      <c r="AU16" s="580"/>
    </row>
    <row r="17" spans="1:47" ht="21" hidden="1" customHeight="1">
      <c r="A17" t="s">
        <v>482</v>
      </c>
      <c r="B17" t="s">
        <v>468</v>
      </c>
      <c r="C17" s="759"/>
      <c r="D17" s="561" t="s">
        <v>52</v>
      </c>
      <c r="E17" s="561" t="s">
        <v>145</v>
      </c>
      <c r="F17" s="561" t="s">
        <v>44</v>
      </c>
      <c r="G17" s="561" t="s">
        <v>42</v>
      </c>
      <c r="H17" s="565">
        <v>11450.74</v>
      </c>
      <c r="I17" s="564">
        <v>534</v>
      </c>
      <c r="J17" s="565">
        <v>21.443333333333332</v>
      </c>
      <c r="K17" s="566">
        <v>495</v>
      </c>
      <c r="L17" s="567">
        <v>7.3033707865168537E-2</v>
      </c>
      <c r="M17" s="564">
        <v>203</v>
      </c>
      <c r="N17" s="568">
        <v>0.58989898989898992</v>
      </c>
      <c r="O17" s="565">
        <v>56.407586206896553</v>
      </c>
      <c r="P17" s="564">
        <v>100</v>
      </c>
      <c r="Q17" s="569">
        <v>0.20202020202020202</v>
      </c>
      <c r="R17" s="571">
        <v>114.5074</v>
      </c>
      <c r="S17" s="563" t="s">
        <v>123</v>
      </c>
      <c r="T17" s="564" t="s">
        <v>123</v>
      </c>
      <c r="U17" s="565" t="s">
        <v>123</v>
      </c>
      <c r="V17" s="566" t="s">
        <v>123</v>
      </c>
      <c r="W17" s="567" t="s">
        <v>123</v>
      </c>
      <c r="X17" s="564" t="s">
        <v>123</v>
      </c>
      <c r="Y17" s="568" t="s">
        <v>123</v>
      </c>
      <c r="Z17" s="565" t="s">
        <v>123</v>
      </c>
      <c r="AA17" s="591" t="s">
        <v>123</v>
      </c>
      <c r="AB17" s="569" t="s">
        <v>123</v>
      </c>
      <c r="AC17" s="571" t="s">
        <v>123</v>
      </c>
      <c r="AD17" s="572">
        <v>11450.74</v>
      </c>
      <c r="AE17" s="573">
        <v>534</v>
      </c>
      <c r="AF17" s="650">
        <v>21.443333333333332</v>
      </c>
      <c r="AG17" s="566">
        <v>495</v>
      </c>
      <c r="AH17" s="567">
        <v>7.3033707865168537E-2</v>
      </c>
      <c r="AI17" s="564">
        <v>203</v>
      </c>
      <c r="AJ17" s="568">
        <v>0.58989898989898992</v>
      </c>
      <c r="AK17" s="565">
        <v>56.407586206896553</v>
      </c>
      <c r="AL17" s="574">
        <v>100</v>
      </c>
      <c r="AM17" s="569">
        <v>0.20202020202020202</v>
      </c>
      <c r="AN17" s="571">
        <v>114.5074</v>
      </c>
      <c r="AO17" s="635"/>
      <c r="AP17" s="575"/>
      <c r="AQ17" s="636"/>
      <c r="AR17" s="637"/>
      <c r="AS17" s="638"/>
      <c r="AT17" s="579"/>
      <c r="AU17" s="580"/>
    </row>
    <row r="18" spans="1:47" ht="21" hidden="1" customHeight="1">
      <c r="A18" t="s">
        <v>483</v>
      </c>
      <c r="B18" t="s">
        <v>470</v>
      </c>
      <c r="C18" s="759"/>
      <c r="D18" s="561" t="s">
        <v>40</v>
      </c>
      <c r="E18" s="561" t="s">
        <v>57</v>
      </c>
      <c r="F18" s="561" t="s">
        <v>57</v>
      </c>
      <c r="G18" s="561" t="s">
        <v>42</v>
      </c>
      <c r="H18" s="565">
        <v>14000</v>
      </c>
      <c r="I18" s="564">
        <v>1771</v>
      </c>
      <c r="J18" s="565">
        <v>7.9051383399209483</v>
      </c>
      <c r="K18" s="566">
        <v>911</v>
      </c>
      <c r="L18" s="567">
        <v>0.48560135516657255</v>
      </c>
      <c r="M18" s="564">
        <v>218</v>
      </c>
      <c r="N18" s="568">
        <v>0.76070252469813393</v>
      </c>
      <c r="O18" s="565">
        <v>64.220183486238525</v>
      </c>
      <c r="P18" s="564">
        <v>54</v>
      </c>
      <c r="Q18" s="569">
        <v>5.9275521405049394E-2</v>
      </c>
      <c r="R18" s="571">
        <v>259.25925925925924</v>
      </c>
      <c r="S18" s="563">
        <v>14000</v>
      </c>
      <c r="T18" s="564">
        <v>1771</v>
      </c>
      <c r="U18" s="565">
        <v>7.9051383399209483</v>
      </c>
      <c r="V18" s="566">
        <v>911</v>
      </c>
      <c r="W18" s="567">
        <v>0.48560135516657255</v>
      </c>
      <c r="X18" s="564">
        <v>218</v>
      </c>
      <c r="Y18" s="568">
        <v>0.76070252469813393</v>
      </c>
      <c r="Z18" s="565">
        <v>64.220183486238525</v>
      </c>
      <c r="AA18" s="591">
        <v>54</v>
      </c>
      <c r="AB18" s="569">
        <v>5.9275521405049394E-2</v>
      </c>
      <c r="AC18" s="571">
        <v>259.25925925925924</v>
      </c>
      <c r="AD18" s="572" t="s">
        <v>123</v>
      </c>
      <c r="AE18" s="573" t="s">
        <v>123</v>
      </c>
      <c r="AF18" s="650" t="s">
        <v>123</v>
      </c>
      <c r="AG18" s="566" t="s">
        <v>123</v>
      </c>
      <c r="AH18" s="567" t="s">
        <v>123</v>
      </c>
      <c r="AI18" s="564" t="s">
        <v>123</v>
      </c>
      <c r="AJ18" s="568" t="s">
        <v>123</v>
      </c>
      <c r="AK18" s="565" t="s">
        <v>123</v>
      </c>
      <c r="AL18" s="574" t="s">
        <v>123</v>
      </c>
      <c r="AM18" s="569" t="s">
        <v>123</v>
      </c>
      <c r="AN18" s="571" t="s">
        <v>123</v>
      </c>
      <c r="AO18" s="635"/>
      <c r="AP18" s="575"/>
      <c r="AQ18" s="636"/>
      <c r="AR18" s="637"/>
      <c r="AS18" s="638"/>
      <c r="AT18" s="579"/>
      <c r="AU18" s="580"/>
    </row>
    <row r="19" spans="1:47" ht="21" hidden="1" customHeight="1">
      <c r="A19" t="s">
        <v>484</v>
      </c>
      <c r="B19" t="s">
        <v>472</v>
      </c>
      <c r="C19" s="759"/>
      <c r="D19" s="561" t="s">
        <v>52</v>
      </c>
      <c r="E19" s="561" t="s">
        <v>121</v>
      </c>
      <c r="F19" s="561" t="s">
        <v>44</v>
      </c>
      <c r="G19" s="561" t="s">
        <v>42</v>
      </c>
      <c r="H19" s="565">
        <v>0</v>
      </c>
      <c r="I19" s="564">
        <v>0</v>
      </c>
      <c r="J19" s="565" t="s">
        <v>123</v>
      </c>
      <c r="K19" s="566">
        <v>0</v>
      </c>
      <c r="L19" s="567" t="s">
        <v>123</v>
      </c>
      <c r="M19" s="564">
        <v>0</v>
      </c>
      <c r="N19" s="568" t="s">
        <v>123</v>
      </c>
      <c r="O19" s="565" t="s">
        <v>123</v>
      </c>
      <c r="P19" s="564">
        <v>0</v>
      </c>
      <c r="Q19" s="569" t="s">
        <v>123</v>
      </c>
      <c r="R19" s="571" t="s">
        <v>123</v>
      </c>
      <c r="S19" s="563" t="s">
        <v>123</v>
      </c>
      <c r="T19" s="564" t="s">
        <v>123</v>
      </c>
      <c r="U19" s="565" t="s">
        <v>123</v>
      </c>
      <c r="V19" s="566" t="s">
        <v>123</v>
      </c>
      <c r="W19" s="567" t="s">
        <v>123</v>
      </c>
      <c r="X19" s="564" t="s">
        <v>123</v>
      </c>
      <c r="Y19" s="568" t="s">
        <v>123</v>
      </c>
      <c r="Z19" s="565" t="s">
        <v>123</v>
      </c>
      <c r="AA19" s="591" t="s">
        <v>123</v>
      </c>
      <c r="AB19" s="569" t="s">
        <v>123</v>
      </c>
      <c r="AC19" s="571" t="s">
        <v>123</v>
      </c>
      <c r="AD19" s="572">
        <v>0</v>
      </c>
      <c r="AE19" s="573">
        <v>0</v>
      </c>
      <c r="AF19" s="650" t="s">
        <v>123</v>
      </c>
      <c r="AG19" s="566">
        <v>0</v>
      </c>
      <c r="AH19" s="567" t="s">
        <v>123</v>
      </c>
      <c r="AI19" s="564">
        <v>0</v>
      </c>
      <c r="AJ19" s="568" t="s">
        <v>123</v>
      </c>
      <c r="AK19" s="565" t="s">
        <v>123</v>
      </c>
      <c r="AL19" s="574">
        <v>0</v>
      </c>
      <c r="AM19" s="569" t="s">
        <v>123</v>
      </c>
      <c r="AN19" s="571" t="s">
        <v>123</v>
      </c>
      <c r="AO19" s="635"/>
      <c r="AP19" s="575"/>
      <c r="AQ19" s="636"/>
      <c r="AR19" s="637"/>
      <c r="AS19" s="638"/>
      <c r="AT19" s="579"/>
      <c r="AU19" s="580"/>
    </row>
    <row r="20" spans="1:47" ht="21" hidden="1" customHeight="1">
      <c r="A20" t="s">
        <v>485</v>
      </c>
      <c r="B20" t="s">
        <v>474</v>
      </c>
      <c r="C20" s="759"/>
      <c r="D20" s="561" t="s">
        <v>40</v>
      </c>
      <c r="E20" s="561" t="s">
        <v>142</v>
      </c>
      <c r="F20" s="561" t="s">
        <v>44</v>
      </c>
      <c r="G20" s="561" t="s">
        <v>60</v>
      </c>
      <c r="H20" s="565">
        <v>3924.2</v>
      </c>
      <c r="I20" s="564">
        <v>174</v>
      </c>
      <c r="J20" s="565">
        <v>22.552873563218391</v>
      </c>
      <c r="K20" s="566">
        <v>144</v>
      </c>
      <c r="L20" s="567">
        <v>0.17241379310344829</v>
      </c>
      <c r="M20" s="564">
        <v>86</v>
      </c>
      <c r="N20" s="568">
        <v>0.40277777777777779</v>
      </c>
      <c r="O20" s="565">
        <v>45.630232558139532</v>
      </c>
      <c r="P20" s="564">
        <v>39</v>
      </c>
      <c r="Q20" s="569">
        <v>0.27083333333333331</v>
      </c>
      <c r="R20" s="571">
        <v>100.62051282051281</v>
      </c>
      <c r="S20" s="563" t="s">
        <v>123</v>
      </c>
      <c r="T20" s="564" t="s">
        <v>123</v>
      </c>
      <c r="U20" s="565" t="s">
        <v>123</v>
      </c>
      <c r="V20" s="566" t="s">
        <v>123</v>
      </c>
      <c r="W20" s="567" t="s">
        <v>123</v>
      </c>
      <c r="X20" s="564" t="s">
        <v>123</v>
      </c>
      <c r="Y20" s="568" t="s">
        <v>123</v>
      </c>
      <c r="Z20" s="565" t="s">
        <v>123</v>
      </c>
      <c r="AA20" s="591" t="s">
        <v>123</v>
      </c>
      <c r="AB20" s="569" t="s">
        <v>123</v>
      </c>
      <c r="AC20" s="571" t="s">
        <v>123</v>
      </c>
      <c r="AD20" s="572">
        <v>3924.2</v>
      </c>
      <c r="AE20" s="573">
        <v>174</v>
      </c>
      <c r="AF20" s="650">
        <v>22.552873563218391</v>
      </c>
      <c r="AG20" s="566">
        <v>144</v>
      </c>
      <c r="AH20" s="567">
        <v>0.17241379310344829</v>
      </c>
      <c r="AI20" s="564">
        <v>86</v>
      </c>
      <c r="AJ20" s="568">
        <v>0.40277777777777779</v>
      </c>
      <c r="AK20" s="565">
        <v>45.630232558139532</v>
      </c>
      <c r="AL20" s="574">
        <v>39</v>
      </c>
      <c r="AM20" s="569">
        <v>0.27083333333333331</v>
      </c>
      <c r="AN20" s="571">
        <v>100.62051282051281</v>
      </c>
      <c r="AO20" s="635"/>
      <c r="AP20" s="575"/>
      <c r="AQ20" s="636"/>
      <c r="AR20" s="637"/>
      <c r="AS20" s="638"/>
      <c r="AT20" s="579"/>
      <c r="AU20" s="580"/>
    </row>
    <row r="21" spans="1:47" ht="21" hidden="1" customHeight="1">
      <c r="A21" t="s">
        <v>486</v>
      </c>
      <c r="B21" t="s">
        <v>476</v>
      </c>
      <c r="C21" s="759"/>
      <c r="D21" s="561" t="s">
        <v>52</v>
      </c>
      <c r="E21" s="561" t="s">
        <v>145</v>
      </c>
      <c r="F21" s="561" t="s">
        <v>44</v>
      </c>
      <c r="G21" s="561" t="s">
        <v>60</v>
      </c>
      <c r="H21" s="565">
        <v>18309.849999999999</v>
      </c>
      <c r="I21" s="564">
        <v>634</v>
      </c>
      <c r="J21" s="565">
        <v>28.87988958990536</v>
      </c>
      <c r="K21" s="566">
        <v>571</v>
      </c>
      <c r="L21" s="567">
        <v>9.9369085173501584E-2</v>
      </c>
      <c r="M21" s="564">
        <v>240</v>
      </c>
      <c r="N21" s="568">
        <v>0.57968476357267951</v>
      </c>
      <c r="O21" s="565">
        <v>76.291041666666658</v>
      </c>
      <c r="P21" s="564">
        <v>147</v>
      </c>
      <c r="Q21" s="569">
        <v>0.2574430823117338</v>
      </c>
      <c r="R21" s="571">
        <v>124.55680272108843</v>
      </c>
      <c r="S21" s="563" t="s">
        <v>123</v>
      </c>
      <c r="T21" s="564" t="s">
        <v>123</v>
      </c>
      <c r="U21" s="565" t="s">
        <v>123</v>
      </c>
      <c r="V21" s="566" t="s">
        <v>123</v>
      </c>
      <c r="W21" s="567" t="s">
        <v>123</v>
      </c>
      <c r="X21" s="564" t="s">
        <v>123</v>
      </c>
      <c r="Y21" s="568" t="s">
        <v>123</v>
      </c>
      <c r="Z21" s="565" t="s">
        <v>123</v>
      </c>
      <c r="AA21" s="591" t="s">
        <v>123</v>
      </c>
      <c r="AB21" s="569" t="s">
        <v>123</v>
      </c>
      <c r="AC21" s="571" t="s">
        <v>123</v>
      </c>
      <c r="AD21" s="572">
        <v>18309.849999999999</v>
      </c>
      <c r="AE21" s="573">
        <v>634</v>
      </c>
      <c r="AF21" s="650">
        <v>28.87988958990536</v>
      </c>
      <c r="AG21" s="566">
        <v>571</v>
      </c>
      <c r="AH21" s="567">
        <v>9.9369085173501584E-2</v>
      </c>
      <c r="AI21" s="564">
        <v>240</v>
      </c>
      <c r="AJ21" s="568">
        <v>0.57968476357267951</v>
      </c>
      <c r="AK21" s="565">
        <v>76.291041666666658</v>
      </c>
      <c r="AL21" s="574">
        <v>147</v>
      </c>
      <c r="AM21" s="569">
        <v>0.2574430823117338</v>
      </c>
      <c r="AN21" s="571">
        <v>124.55680272108843</v>
      </c>
      <c r="AO21" s="635"/>
      <c r="AP21" s="575"/>
      <c r="AQ21" s="636"/>
      <c r="AR21" s="637"/>
      <c r="AS21" s="638"/>
      <c r="AT21" s="579"/>
      <c r="AU21" s="580"/>
    </row>
    <row r="22" spans="1:47" ht="21" hidden="1" customHeight="1">
      <c r="A22" t="s">
        <v>487</v>
      </c>
      <c r="B22" t="s">
        <v>478</v>
      </c>
      <c r="C22" s="759"/>
      <c r="D22" s="584" t="s">
        <v>40</v>
      </c>
      <c r="E22" s="584" t="s">
        <v>57</v>
      </c>
      <c r="F22" s="584" t="s">
        <v>57</v>
      </c>
      <c r="G22" s="584" t="s">
        <v>60</v>
      </c>
      <c r="H22" s="565">
        <v>39091.82</v>
      </c>
      <c r="I22" s="581">
        <v>7126</v>
      </c>
      <c r="J22" s="582">
        <v>5.4858012910468705</v>
      </c>
      <c r="K22" s="566">
        <v>4510</v>
      </c>
      <c r="L22" s="567">
        <v>0.36710637103564414</v>
      </c>
      <c r="M22" s="564">
        <v>1317</v>
      </c>
      <c r="N22" s="568">
        <v>0.70798226164079825</v>
      </c>
      <c r="O22" s="586">
        <v>29.682475322703112</v>
      </c>
      <c r="P22" s="564">
        <v>671</v>
      </c>
      <c r="Q22" s="569">
        <v>0.14878048780487804</v>
      </c>
      <c r="R22" s="571">
        <v>58.259046199701935</v>
      </c>
      <c r="S22" s="563">
        <v>39091.82</v>
      </c>
      <c r="T22" s="564">
        <v>7126</v>
      </c>
      <c r="U22" s="565">
        <v>5.4858012910468705</v>
      </c>
      <c r="V22" s="566">
        <v>4510</v>
      </c>
      <c r="W22" s="567">
        <v>0.36710637103564414</v>
      </c>
      <c r="X22" s="564">
        <v>1317</v>
      </c>
      <c r="Y22" s="568">
        <v>0.70798226164079825</v>
      </c>
      <c r="Z22" s="586">
        <v>29.682475322703112</v>
      </c>
      <c r="AA22" s="591">
        <v>671</v>
      </c>
      <c r="AB22" s="569">
        <v>0.14878048780487804</v>
      </c>
      <c r="AC22" s="571">
        <v>58.259046199701935</v>
      </c>
      <c r="AD22" s="572" t="s">
        <v>123</v>
      </c>
      <c r="AE22" s="573" t="s">
        <v>123</v>
      </c>
      <c r="AF22" s="650" t="s">
        <v>123</v>
      </c>
      <c r="AG22" s="566" t="s">
        <v>123</v>
      </c>
      <c r="AH22" s="567" t="s">
        <v>123</v>
      </c>
      <c r="AI22" s="564" t="s">
        <v>123</v>
      </c>
      <c r="AJ22" s="568" t="s">
        <v>123</v>
      </c>
      <c r="AK22" s="586" t="s">
        <v>123</v>
      </c>
      <c r="AL22" s="574" t="s">
        <v>123</v>
      </c>
      <c r="AM22" s="569" t="s">
        <v>123</v>
      </c>
      <c r="AN22" s="571" t="s">
        <v>123</v>
      </c>
      <c r="AO22" s="635"/>
      <c r="AP22" s="587"/>
      <c r="AQ22" s="636"/>
      <c r="AR22" s="641"/>
      <c r="AS22" s="638"/>
      <c r="AT22" s="579"/>
      <c r="AU22" s="580"/>
    </row>
    <row r="23" spans="1:47" ht="49.95" customHeight="1">
      <c r="C23" s="758" t="s">
        <v>166</v>
      </c>
      <c r="D23" s="541"/>
      <c r="E23" s="541"/>
      <c r="F23" s="541"/>
      <c r="G23" s="541" t="s">
        <v>139</v>
      </c>
      <c r="H23" s="545">
        <v>120021.95999999999</v>
      </c>
      <c r="I23" s="544">
        <v>11258</v>
      </c>
      <c r="J23" s="545">
        <v>10.661037484455498</v>
      </c>
      <c r="K23" s="546">
        <v>7202</v>
      </c>
      <c r="L23" s="547">
        <v>0.36027713625866054</v>
      </c>
      <c r="M23" s="544">
        <v>2341</v>
      </c>
      <c r="N23" s="548">
        <v>0.67495140238822549</v>
      </c>
      <c r="O23" s="549">
        <v>51.269525843656552</v>
      </c>
      <c r="P23" s="544">
        <v>1204</v>
      </c>
      <c r="Q23" s="548">
        <v>0.16717578450430437</v>
      </c>
      <c r="R23" s="551">
        <v>99.686013289036538</v>
      </c>
      <c r="S23" s="543">
        <v>82975.02</v>
      </c>
      <c r="T23" s="544">
        <v>9905</v>
      </c>
      <c r="U23" s="545">
        <v>8.3770843008581526</v>
      </c>
      <c r="V23" s="546">
        <v>6045</v>
      </c>
      <c r="W23" s="547">
        <v>0.38970217062089851</v>
      </c>
      <c r="X23" s="544">
        <v>1831</v>
      </c>
      <c r="Y23" s="548">
        <v>0.69710504549214225</v>
      </c>
      <c r="Z23" s="549">
        <v>45.316777717094489</v>
      </c>
      <c r="AA23" s="629">
        <v>957</v>
      </c>
      <c r="AB23" s="548">
        <v>0.15831265508684864</v>
      </c>
      <c r="AC23" s="551">
        <v>86.703260188087782</v>
      </c>
      <c r="AD23" s="552">
        <v>37046.94</v>
      </c>
      <c r="AE23" s="553">
        <v>1353</v>
      </c>
      <c r="AF23" s="549">
        <v>27.381330376940134</v>
      </c>
      <c r="AG23" s="546">
        <v>1157</v>
      </c>
      <c r="AH23" s="547">
        <v>0.14486326681448633</v>
      </c>
      <c r="AI23" s="553">
        <v>510</v>
      </c>
      <c r="AJ23" s="548">
        <v>0.55920484010371652</v>
      </c>
      <c r="AK23" s="549">
        <v>72.64105882352942</v>
      </c>
      <c r="AL23" s="554">
        <v>247</v>
      </c>
      <c r="AM23" s="548">
        <v>0.21348314606741572</v>
      </c>
      <c r="AN23" s="551">
        <v>149.98761133603239</v>
      </c>
      <c r="AO23" s="630">
        <v>0.8901</v>
      </c>
      <c r="AP23" s="555">
        <v>0.81340000000000001</v>
      </c>
      <c r="AQ23" s="631">
        <v>0.82369999999999999</v>
      </c>
      <c r="AR23" s="632">
        <v>0.82140000000000002</v>
      </c>
      <c r="AS23" s="633">
        <v>2.15</v>
      </c>
      <c r="AT23" s="583" t="s">
        <v>488</v>
      </c>
      <c r="AU23" s="589" t="s">
        <v>489</v>
      </c>
    </row>
    <row r="24" spans="1:47" ht="21" hidden="1" customHeight="1">
      <c r="A24" t="s">
        <v>490</v>
      </c>
      <c r="B24" t="s">
        <v>466</v>
      </c>
      <c r="C24" s="759"/>
      <c r="D24" s="561" t="s">
        <v>40</v>
      </c>
      <c r="E24" s="561" t="s">
        <v>142</v>
      </c>
      <c r="F24" s="561" t="s">
        <v>44</v>
      </c>
      <c r="G24" s="561" t="s">
        <v>42</v>
      </c>
      <c r="H24" s="565">
        <v>1530.35</v>
      </c>
      <c r="I24" s="564">
        <v>73</v>
      </c>
      <c r="J24" s="565">
        <v>20.963698630136985</v>
      </c>
      <c r="K24" s="566">
        <v>60</v>
      </c>
      <c r="L24" s="567">
        <v>0.17808219178082191</v>
      </c>
      <c r="M24" s="564">
        <v>33</v>
      </c>
      <c r="N24" s="568">
        <v>0.45</v>
      </c>
      <c r="O24" s="565">
        <v>46.374242424242425</v>
      </c>
      <c r="P24" s="564">
        <v>21</v>
      </c>
      <c r="Q24" s="569">
        <v>0.35</v>
      </c>
      <c r="R24" s="571">
        <v>72.873809523809513</v>
      </c>
      <c r="S24" s="563" t="s">
        <v>123</v>
      </c>
      <c r="T24" s="564" t="s">
        <v>123</v>
      </c>
      <c r="U24" s="565" t="s">
        <v>123</v>
      </c>
      <c r="V24" s="566" t="s">
        <v>123</v>
      </c>
      <c r="W24" s="567" t="s">
        <v>123</v>
      </c>
      <c r="X24" s="564" t="s">
        <v>123</v>
      </c>
      <c r="Y24" s="568" t="s">
        <v>123</v>
      </c>
      <c r="Z24" s="565" t="s">
        <v>123</v>
      </c>
      <c r="AA24" s="591" t="s">
        <v>123</v>
      </c>
      <c r="AB24" s="569" t="s">
        <v>123</v>
      </c>
      <c r="AC24" s="571" t="s">
        <v>123</v>
      </c>
      <c r="AD24" s="572">
        <v>1530.35</v>
      </c>
      <c r="AE24" s="573">
        <v>73</v>
      </c>
      <c r="AF24" s="650">
        <v>20.963698630136985</v>
      </c>
      <c r="AG24" s="566">
        <v>60</v>
      </c>
      <c r="AH24" s="567">
        <v>0.17808219178082191</v>
      </c>
      <c r="AI24" s="564">
        <v>33</v>
      </c>
      <c r="AJ24" s="568">
        <v>0.45</v>
      </c>
      <c r="AK24" s="565">
        <v>46.374242424242425</v>
      </c>
      <c r="AL24" s="574">
        <v>21</v>
      </c>
      <c r="AM24" s="569">
        <v>0.35</v>
      </c>
      <c r="AN24" s="571">
        <v>72.873809523809513</v>
      </c>
      <c r="AO24" s="635"/>
      <c r="AP24" s="575"/>
      <c r="AQ24" s="636"/>
      <c r="AR24" s="637"/>
      <c r="AS24" s="642"/>
      <c r="AT24" s="579"/>
      <c r="AU24" s="580"/>
    </row>
    <row r="25" spans="1:47" ht="21" hidden="1" customHeight="1">
      <c r="A25" t="s">
        <v>491</v>
      </c>
      <c r="B25" t="s">
        <v>468</v>
      </c>
      <c r="C25" s="759"/>
      <c r="D25" s="561" t="s">
        <v>52</v>
      </c>
      <c r="E25" s="561" t="s">
        <v>145</v>
      </c>
      <c r="F25" s="561" t="s">
        <v>44</v>
      </c>
      <c r="G25" s="561" t="s">
        <v>42</v>
      </c>
      <c r="H25" s="565">
        <v>12404.84</v>
      </c>
      <c r="I25" s="564">
        <v>520</v>
      </c>
      <c r="J25" s="565">
        <v>23.85546153846154</v>
      </c>
      <c r="K25" s="566">
        <v>448</v>
      </c>
      <c r="L25" s="567">
        <v>0.13846153846153847</v>
      </c>
      <c r="M25" s="564">
        <v>206</v>
      </c>
      <c r="N25" s="568">
        <v>0.5401785714285714</v>
      </c>
      <c r="O25" s="565">
        <v>60.217669902912625</v>
      </c>
      <c r="P25" s="564">
        <v>90</v>
      </c>
      <c r="Q25" s="569">
        <v>0.20089285714285715</v>
      </c>
      <c r="R25" s="571">
        <v>137.83155555555555</v>
      </c>
      <c r="S25" s="563" t="s">
        <v>123</v>
      </c>
      <c r="T25" s="564" t="s">
        <v>123</v>
      </c>
      <c r="U25" s="565" t="s">
        <v>123</v>
      </c>
      <c r="V25" s="566" t="s">
        <v>123</v>
      </c>
      <c r="W25" s="567" t="s">
        <v>123</v>
      </c>
      <c r="X25" s="564" t="s">
        <v>123</v>
      </c>
      <c r="Y25" s="568" t="s">
        <v>123</v>
      </c>
      <c r="Z25" s="565" t="s">
        <v>123</v>
      </c>
      <c r="AA25" s="591" t="s">
        <v>123</v>
      </c>
      <c r="AB25" s="569" t="s">
        <v>123</v>
      </c>
      <c r="AC25" s="571" t="s">
        <v>123</v>
      </c>
      <c r="AD25" s="572">
        <v>12404.84</v>
      </c>
      <c r="AE25" s="573">
        <v>520</v>
      </c>
      <c r="AF25" s="650">
        <v>23.85546153846154</v>
      </c>
      <c r="AG25" s="566">
        <v>448</v>
      </c>
      <c r="AH25" s="567">
        <v>0.13846153846153847</v>
      </c>
      <c r="AI25" s="564">
        <v>206</v>
      </c>
      <c r="AJ25" s="568">
        <v>0.5401785714285714</v>
      </c>
      <c r="AK25" s="565">
        <v>60.217669902912625</v>
      </c>
      <c r="AL25" s="574">
        <v>90</v>
      </c>
      <c r="AM25" s="569">
        <v>0.20089285714285715</v>
      </c>
      <c r="AN25" s="571">
        <v>137.83155555555555</v>
      </c>
      <c r="AO25" s="635"/>
      <c r="AP25" s="575"/>
      <c r="AQ25" s="636"/>
      <c r="AR25" s="637"/>
      <c r="AS25" s="642"/>
      <c r="AT25" s="579"/>
      <c r="AU25" s="580"/>
    </row>
    <row r="26" spans="1:47" ht="21" hidden="1" customHeight="1">
      <c r="A26" t="s">
        <v>492</v>
      </c>
      <c r="B26" t="s">
        <v>470</v>
      </c>
      <c r="C26" s="759"/>
      <c r="D26" s="561" t="s">
        <v>40</v>
      </c>
      <c r="E26" s="561" t="s">
        <v>57</v>
      </c>
      <c r="F26" s="561" t="s">
        <v>57</v>
      </c>
      <c r="G26" s="561" t="s">
        <v>42</v>
      </c>
      <c r="H26" s="565">
        <v>13986.69</v>
      </c>
      <c r="I26" s="564">
        <v>1638</v>
      </c>
      <c r="J26" s="565">
        <v>8.5388827838827837</v>
      </c>
      <c r="K26" s="566">
        <v>791</v>
      </c>
      <c r="L26" s="567">
        <v>0.51709401709401714</v>
      </c>
      <c r="M26" s="564">
        <v>149</v>
      </c>
      <c r="N26" s="568">
        <v>0.81163084702907706</v>
      </c>
      <c r="O26" s="565">
        <v>93.870402684563757</v>
      </c>
      <c r="P26" s="564">
        <v>46</v>
      </c>
      <c r="Q26" s="569">
        <v>5.8154235145385591E-2</v>
      </c>
      <c r="R26" s="571">
        <v>304.05847826086955</v>
      </c>
      <c r="S26" s="563">
        <v>13986.69</v>
      </c>
      <c r="T26" s="564">
        <v>1638</v>
      </c>
      <c r="U26" s="565">
        <v>8.5388827838827837</v>
      </c>
      <c r="V26" s="566">
        <v>791</v>
      </c>
      <c r="W26" s="567">
        <v>0.51709401709401714</v>
      </c>
      <c r="X26" s="564">
        <v>149</v>
      </c>
      <c r="Y26" s="568">
        <v>0.81163084702907706</v>
      </c>
      <c r="Z26" s="565">
        <v>93.870402684563757</v>
      </c>
      <c r="AA26" s="591">
        <v>46</v>
      </c>
      <c r="AB26" s="569">
        <v>5.8154235145385591E-2</v>
      </c>
      <c r="AC26" s="571">
        <v>304.05847826086955</v>
      </c>
      <c r="AD26" s="572" t="s">
        <v>123</v>
      </c>
      <c r="AE26" s="573" t="s">
        <v>123</v>
      </c>
      <c r="AF26" s="650" t="s">
        <v>123</v>
      </c>
      <c r="AG26" s="566" t="s">
        <v>123</v>
      </c>
      <c r="AH26" s="567" t="s">
        <v>123</v>
      </c>
      <c r="AI26" s="564" t="s">
        <v>123</v>
      </c>
      <c r="AJ26" s="568" t="s">
        <v>123</v>
      </c>
      <c r="AK26" s="565" t="s">
        <v>123</v>
      </c>
      <c r="AL26" s="574" t="s">
        <v>123</v>
      </c>
      <c r="AM26" s="569" t="s">
        <v>123</v>
      </c>
      <c r="AN26" s="571" t="s">
        <v>123</v>
      </c>
      <c r="AO26" s="635"/>
      <c r="AP26" s="575"/>
      <c r="AQ26" s="636"/>
      <c r="AR26" s="637"/>
      <c r="AS26" s="642"/>
      <c r="AT26" s="579"/>
      <c r="AU26" s="580"/>
    </row>
    <row r="27" spans="1:47" ht="21" hidden="1" customHeight="1">
      <c r="A27" t="s">
        <v>493</v>
      </c>
      <c r="B27" t="s">
        <v>472</v>
      </c>
      <c r="C27" s="759"/>
      <c r="D27" s="561" t="s">
        <v>52</v>
      </c>
      <c r="E27" s="561" t="s">
        <v>121</v>
      </c>
      <c r="F27" s="561" t="s">
        <v>44</v>
      </c>
      <c r="G27" s="561" t="s">
        <v>42</v>
      </c>
      <c r="H27" s="565">
        <v>0</v>
      </c>
      <c r="I27" s="564">
        <v>0</v>
      </c>
      <c r="J27" s="565" t="s">
        <v>123</v>
      </c>
      <c r="K27" s="566">
        <v>0</v>
      </c>
      <c r="L27" s="567" t="s">
        <v>123</v>
      </c>
      <c r="M27" s="564">
        <v>0</v>
      </c>
      <c r="N27" s="568" t="s">
        <v>123</v>
      </c>
      <c r="O27" s="565" t="s">
        <v>123</v>
      </c>
      <c r="P27" s="564">
        <v>0</v>
      </c>
      <c r="Q27" s="569" t="s">
        <v>123</v>
      </c>
      <c r="R27" s="571" t="s">
        <v>123</v>
      </c>
      <c r="S27" s="563" t="s">
        <v>123</v>
      </c>
      <c r="T27" s="564" t="s">
        <v>123</v>
      </c>
      <c r="U27" s="565" t="s">
        <v>123</v>
      </c>
      <c r="V27" s="566" t="s">
        <v>123</v>
      </c>
      <c r="W27" s="567" t="s">
        <v>123</v>
      </c>
      <c r="X27" s="564" t="s">
        <v>123</v>
      </c>
      <c r="Y27" s="568" t="s">
        <v>123</v>
      </c>
      <c r="Z27" s="565" t="s">
        <v>123</v>
      </c>
      <c r="AA27" s="591" t="s">
        <v>123</v>
      </c>
      <c r="AB27" s="569" t="s">
        <v>123</v>
      </c>
      <c r="AC27" s="571" t="s">
        <v>123</v>
      </c>
      <c r="AD27" s="572">
        <v>0</v>
      </c>
      <c r="AE27" s="573">
        <v>0</v>
      </c>
      <c r="AF27" s="650" t="s">
        <v>123</v>
      </c>
      <c r="AG27" s="566">
        <v>0</v>
      </c>
      <c r="AH27" s="567" t="s">
        <v>123</v>
      </c>
      <c r="AI27" s="564">
        <v>0</v>
      </c>
      <c r="AJ27" s="568" t="s">
        <v>123</v>
      </c>
      <c r="AK27" s="565" t="s">
        <v>123</v>
      </c>
      <c r="AL27" s="574">
        <v>0</v>
      </c>
      <c r="AM27" s="569" t="s">
        <v>123</v>
      </c>
      <c r="AN27" s="571" t="s">
        <v>123</v>
      </c>
      <c r="AO27" s="635"/>
      <c r="AP27" s="575"/>
      <c r="AQ27" s="636"/>
      <c r="AR27" s="637"/>
      <c r="AS27" s="642"/>
      <c r="AT27" s="579"/>
      <c r="AU27" s="580"/>
    </row>
    <row r="28" spans="1:47" ht="21" hidden="1" customHeight="1">
      <c r="A28" t="s">
        <v>494</v>
      </c>
      <c r="B28" t="s">
        <v>474</v>
      </c>
      <c r="C28" s="759"/>
      <c r="D28" s="561" t="s">
        <v>40</v>
      </c>
      <c r="E28" s="561" t="s">
        <v>142</v>
      </c>
      <c r="F28" s="561" t="s">
        <v>44</v>
      </c>
      <c r="G28" s="561" t="s">
        <v>60</v>
      </c>
      <c r="H28" s="565">
        <v>5002.43</v>
      </c>
      <c r="I28" s="564">
        <v>173</v>
      </c>
      <c r="J28" s="565">
        <v>28.91578034682081</v>
      </c>
      <c r="K28" s="566">
        <v>139</v>
      </c>
      <c r="L28" s="567">
        <v>0.19653179190751446</v>
      </c>
      <c r="M28" s="564">
        <v>69</v>
      </c>
      <c r="N28" s="568">
        <v>0.50359712230215825</v>
      </c>
      <c r="O28" s="565">
        <v>72.498985507246374</v>
      </c>
      <c r="P28" s="564">
        <v>30</v>
      </c>
      <c r="Q28" s="569">
        <v>0.21582733812949639</v>
      </c>
      <c r="R28" s="571">
        <v>166.74766666666667</v>
      </c>
      <c r="S28" s="563" t="s">
        <v>123</v>
      </c>
      <c r="T28" s="564" t="s">
        <v>123</v>
      </c>
      <c r="U28" s="565" t="s">
        <v>123</v>
      </c>
      <c r="V28" s="566" t="s">
        <v>123</v>
      </c>
      <c r="W28" s="567" t="s">
        <v>123</v>
      </c>
      <c r="X28" s="564" t="s">
        <v>123</v>
      </c>
      <c r="Y28" s="568" t="s">
        <v>123</v>
      </c>
      <c r="Z28" s="565" t="s">
        <v>123</v>
      </c>
      <c r="AA28" s="591" t="s">
        <v>123</v>
      </c>
      <c r="AB28" s="569" t="s">
        <v>123</v>
      </c>
      <c r="AC28" s="571" t="s">
        <v>123</v>
      </c>
      <c r="AD28" s="572">
        <v>5002.43</v>
      </c>
      <c r="AE28" s="573">
        <v>173</v>
      </c>
      <c r="AF28" s="650">
        <v>28.91578034682081</v>
      </c>
      <c r="AG28" s="566">
        <v>139</v>
      </c>
      <c r="AH28" s="567">
        <v>0.19653179190751446</v>
      </c>
      <c r="AI28" s="564">
        <v>69</v>
      </c>
      <c r="AJ28" s="568">
        <v>0.50359712230215825</v>
      </c>
      <c r="AK28" s="565">
        <v>72.498985507246374</v>
      </c>
      <c r="AL28" s="574">
        <v>30</v>
      </c>
      <c r="AM28" s="569">
        <v>0.21582733812949639</v>
      </c>
      <c r="AN28" s="571">
        <v>166.74766666666667</v>
      </c>
      <c r="AO28" s="635"/>
      <c r="AP28" s="575"/>
      <c r="AQ28" s="636"/>
      <c r="AR28" s="637"/>
      <c r="AS28" s="642"/>
      <c r="AT28" s="579"/>
      <c r="AU28" s="580"/>
    </row>
    <row r="29" spans="1:47" ht="21" hidden="1" customHeight="1">
      <c r="A29" t="s">
        <v>495</v>
      </c>
      <c r="B29" t="s">
        <v>476</v>
      </c>
      <c r="C29" s="759"/>
      <c r="D29" s="561" t="s">
        <v>52</v>
      </c>
      <c r="E29" s="561" t="s">
        <v>145</v>
      </c>
      <c r="F29" s="561" t="s">
        <v>44</v>
      </c>
      <c r="G29" s="561" t="s">
        <v>60</v>
      </c>
      <c r="H29" s="565">
        <v>18109.32</v>
      </c>
      <c r="I29" s="564">
        <v>587</v>
      </c>
      <c r="J29" s="565">
        <v>30.850630323679727</v>
      </c>
      <c r="K29" s="566">
        <v>510</v>
      </c>
      <c r="L29" s="567">
        <v>0.131175468483816</v>
      </c>
      <c r="M29" s="564">
        <v>202</v>
      </c>
      <c r="N29" s="568">
        <v>0.60392156862745094</v>
      </c>
      <c r="O29" s="565">
        <v>89.650099009900984</v>
      </c>
      <c r="P29" s="564">
        <v>106</v>
      </c>
      <c r="Q29" s="569">
        <v>0.20784313725490197</v>
      </c>
      <c r="R29" s="571">
        <v>170.84264150943395</v>
      </c>
      <c r="S29" s="563" t="s">
        <v>123</v>
      </c>
      <c r="T29" s="564" t="s">
        <v>123</v>
      </c>
      <c r="U29" s="565" t="s">
        <v>123</v>
      </c>
      <c r="V29" s="566" t="s">
        <v>123</v>
      </c>
      <c r="W29" s="567" t="s">
        <v>123</v>
      </c>
      <c r="X29" s="564" t="s">
        <v>123</v>
      </c>
      <c r="Y29" s="568" t="s">
        <v>123</v>
      </c>
      <c r="Z29" s="565" t="s">
        <v>123</v>
      </c>
      <c r="AA29" s="591" t="s">
        <v>123</v>
      </c>
      <c r="AB29" s="569" t="s">
        <v>123</v>
      </c>
      <c r="AC29" s="571" t="s">
        <v>123</v>
      </c>
      <c r="AD29" s="572">
        <v>18109.32</v>
      </c>
      <c r="AE29" s="573">
        <v>587</v>
      </c>
      <c r="AF29" s="650">
        <v>30.850630323679727</v>
      </c>
      <c r="AG29" s="566">
        <v>510</v>
      </c>
      <c r="AH29" s="567">
        <v>0.131175468483816</v>
      </c>
      <c r="AI29" s="564">
        <v>202</v>
      </c>
      <c r="AJ29" s="568">
        <v>0.60392156862745094</v>
      </c>
      <c r="AK29" s="565">
        <v>89.650099009900984</v>
      </c>
      <c r="AL29" s="574">
        <v>106</v>
      </c>
      <c r="AM29" s="569">
        <v>0.20784313725490197</v>
      </c>
      <c r="AN29" s="571">
        <v>170.84264150943395</v>
      </c>
      <c r="AO29" s="635"/>
      <c r="AP29" s="575"/>
      <c r="AQ29" s="636"/>
      <c r="AR29" s="637"/>
      <c r="AS29" s="642"/>
      <c r="AT29" s="579"/>
      <c r="AU29" s="580"/>
    </row>
    <row r="30" spans="1:47" ht="21" hidden="1" customHeight="1">
      <c r="A30" t="s">
        <v>496</v>
      </c>
      <c r="B30" t="s">
        <v>478</v>
      </c>
      <c r="C30" s="760"/>
      <c r="D30" s="584" t="s">
        <v>40</v>
      </c>
      <c r="E30" s="584" t="s">
        <v>57</v>
      </c>
      <c r="F30" s="584" t="s">
        <v>57</v>
      </c>
      <c r="G30" s="584" t="s">
        <v>60</v>
      </c>
      <c r="H30" s="565">
        <v>68988.33</v>
      </c>
      <c r="I30" s="581">
        <v>8267</v>
      </c>
      <c r="J30" s="582">
        <v>8.3450260070158464</v>
      </c>
      <c r="K30" s="566">
        <v>5254</v>
      </c>
      <c r="L30" s="567">
        <v>0.36446111043909518</v>
      </c>
      <c r="M30" s="564">
        <v>1682</v>
      </c>
      <c r="N30" s="568">
        <v>0.67986296155310244</v>
      </c>
      <c r="O30" s="586">
        <v>41.015653983353154</v>
      </c>
      <c r="P30" s="564">
        <v>911</v>
      </c>
      <c r="Q30" s="569">
        <v>0.17339170156071565</v>
      </c>
      <c r="R30" s="571">
        <v>75.728133918770581</v>
      </c>
      <c r="S30" s="563">
        <v>68988.33</v>
      </c>
      <c r="T30" s="564">
        <v>8267</v>
      </c>
      <c r="U30" s="565">
        <v>8.3450260070158464</v>
      </c>
      <c r="V30" s="566">
        <v>5254</v>
      </c>
      <c r="W30" s="567">
        <v>0.36446111043909518</v>
      </c>
      <c r="X30" s="564">
        <v>1682</v>
      </c>
      <c r="Y30" s="568">
        <v>0.67986296155310244</v>
      </c>
      <c r="Z30" s="586">
        <v>41.015653983353154</v>
      </c>
      <c r="AA30" s="591">
        <v>911</v>
      </c>
      <c r="AB30" s="569">
        <v>0.17339170156071565</v>
      </c>
      <c r="AC30" s="571">
        <v>75.728133918770581</v>
      </c>
      <c r="AD30" s="572" t="s">
        <v>123</v>
      </c>
      <c r="AE30" s="573" t="s">
        <v>123</v>
      </c>
      <c r="AF30" s="650" t="s">
        <v>123</v>
      </c>
      <c r="AG30" s="566" t="s">
        <v>123</v>
      </c>
      <c r="AH30" s="567" t="s">
        <v>123</v>
      </c>
      <c r="AI30" s="564" t="s">
        <v>123</v>
      </c>
      <c r="AJ30" s="568" t="s">
        <v>123</v>
      </c>
      <c r="AK30" s="586" t="s">
        <v>123</v>
      </c>
      <c r="AL30" s="574" t="s">
        <v>123</v>
      </c>
      <c r="AM30" s="569" t="s">
        <v>123</v>
      </c>
      <c r="AN30" s="571" t="s">
        <v>123</v>
      </c>
      <c r="AO30" s="635"/>
      <c r="AP30" s="587"/>
      <c r="AQ30" s="636"/>
      <c r="AR30" s="641"/>
      <c r="AS30" s="642"/>
      <c r="AT30" s="579"/>
      <c r="AU30" s="580"/>
    </row>
    <row r="31" spans="1:47" ht="49.95" customHeight="1">
      <c r="C31" s="758" t="s">
        <v>176</v>
      </c>
      <c r="D31" s="541"/>
      <c r="E31" s="541"/>
      <c r="F31" s="541"/>
      <c r="G31" s="541" t="s">
        <v>139</v>
      </c>
      <c r="H31" s="545">
        <v>95965.700000000012</v>
      </c>
      <c r="I31" s="544">
        <v>9293</v>
      </c>
      <c r="J31" s="545">
        <v>10.326665231894976</v>
      </c>
      <c r="K31" s="546">
        <v>5906</v>
      </c>
      <c r="L31" s="547">
        <v>0.36446787904874639</v>
      </c>
      <c r="M31" s="544">
        <v>3465</v>
      </c>
      <c r="N31" s="548">
        <v>0.41330849983068069</v>
      </c>
      <c r="O31" s="549">
        <v>27.69572871572872</v>
      </c>
      <c r="P31" s="629">
        <v>861</v>
      </c>
      <c r="Q31" s="548">
        <v>0.14578394852692178</v>
      </c>
      <c r="R31" s="551">
        <v>111.45842044134729</v>
      </c>
      <c r="S31" s="543">
        <v>61746.78</v>
      </c>
      <c r="T31" s="544">
        <v>8006</v>
      </c>
      <c r="U31" s="545">
        <v>7.7125630776917307</v>
      </c>
      <c r="V31" s="546">
        <v>4814</v>
      </c>
      <c r="W31" s="547">
        <v>0.39870097426929801</v>
      </c>
      <c r="X31" s="544">
        <v>2732</v>
      </c>
      <c r="Y31" s="548">
        <v>0.43248857498961363</v>
      </c>
      <c r="Z31" s="549">
        <v>22.601310395314787</v>
      </c>
      <c r="AA31" s="629">
        <v>642</v>
      </c>
      <c r="AB31" s="548">
        <v>0.1333610303282094</v>
      </c>
      <c r="AC31" s="551">
        <v>96.178785046728976</v>
      </c>
      <c r="AD31" s="552">
        <v>34218.92</v>
      </c>
      <c r="AE31" s="553">
        <v>1287</v>
      </c>
      <c r="AF31" s="549">
        <v>26.588127428127425</v>
      </c>
      <c r="AG31" s="546">
        <v>1092</v>
      </c>
      <c r="AH31" s="547">
        <v>0.15151515151515152</v>
      </c>
      <c r="AI31" s="553">
        <v>733</v>
      </c>
      <c r="AJ31" s="548">
        <v>0.32875457875457875</v>
      </c>
      <c r="AK31" s="549">
        <v>46.683383356070941</v>
      </c>
      <c r="AL31" s="554">
        <v>219</v>
      </c>
      <c r="AM31" s="548">
        <v>0.20054945054945056</v>
      </c>
      <c r="AN31" s="551">
        <v>156.25077625570776</v>
      </c>
      <c r="AO31" s="630">
        <v>0.81699999999999995</v>
      </c>
      <c r="AP31" s="555">
        <v>0.77239999999999998</v>
      </c>
      <c r="AQ31" s="631">
        <v>0.81330000000000002</v>
      </c>
      <c r="AR31" s="632">
        <v>0.80249999999999999</v>
      </c>
      <c r="AS31" s="633">
        <v>2.11</v>
      </c>
      <c r="AT31" s="583"/>
      <c r="AU31" s="589" t="s">
        <v>177</v>
      </c>
    </row>
    <row r="32" spans="1:47" ht="21" hidden="1" customHeight="1">
      <c r="A32" t="s">
        <v>497</v>
      </c>
      <c r="B32" t="s">
        <v>466</v>
      </c>
      <c r="C32" s="759"/>
      <c r="D32" s="561" t="s">
        <v>40</v>
      </c>
      <c r="E32" s="561" t="s">
        <v>142</v>
      </c>
      <c r="F32" s="561" t="s">
        <v>44</v>
      </c>
      <c r="G32" s="561" t="s">
        <v>42</v>
      </c>
      <c r="H32" s="565">
        <v>1321.76</v>
      </c>
      <c r="I32" s="564">
        <v>68</v>
      </c>
      <c r="J32" s="565">
        <v>19.437647058823529</v>
      </c>
      <c r="K32" s="566">
        <v>56</v>
      </c>
      <c r="L32" s="567">
        <v>0.17647058823529413</v>
      </c>
      <c r="M32" s="564">
        <v>47</v>
      </c>
      <c r="N32" s="568">
        <v>0.16071428571428573</v>
      </c>
      <c r="O32" s="565">
        <v>28.122553191489363</v>
      </c>
      <c r="P32" s="564">
        <v>15</v>
      </c>
      <c r="Q32" s="569">
        <v>0.26785714285714285</v>
      </c>
      <c r="R32" s="571">
        <v>88.117333333333335</v>
      </c>
      <c r="S32" s="563" t="s">
        <v>123</v>
      </c>
      <c r="T32" s="564" t="s">
        <v>123</v>
      </c>
      <c r="U32" s="565" t="s">
        <v>123</v>
      </c>
      <c r="V32" s="566" t="s">
        <v>123</v>
      </c>
      <c r="W32" s="567" t="s">
        <v>123</v>
      </c>
      <c r="X32" s="564" t="s">
        <v>123</v>
      </c>
      <c r="Y32" s="568" t="s">
        <v>123</v>
      </c>
      <c r="Z32" s="565" t="s">
        <v>123</v>
      </c>
      <c r="AA32" s="591" t="s">
        <v>123</v>
      </c>
      <c r="AB32" s="569" t="s">
        <v>123</v>
      </c>
      <c r="AC32" s="571" t="s">
        <v>123</v>
      </c>
      <c r="AD32" s="572">
        <v>1321.76</v>
      </c>
      <c r="AE32" s="573">
        <v>68</v>
      </c>
      <c r="AF32" s="650">
        <v>19.437647058823529</v>
      </c>
      <c r="AG32" s="566">
        <v>56</v>
      </c>
      <c r="AH32" s="567">
        <v>0.17647058823529413</v>
      </c>
      <c r="AI32" s="564">
        <v>47</v>
      </c>
      <c r="AJ32" s="568">
        <v>0.16071428571428573</v>
      </c>
      <c r="AK32" s="565">
        <v>28.122553191489363</v>
      </c>
      <c r="AL32" s="574">
        <v>15</v>
      </c>
      <c r="AM32" s="569">
        <v>0.26785714285714285</v>
      </c>
      <c r="AN32" s="571">
        <v>88.117333333333335</v>
      </c>
      <c r="AO32" s="635"/>
      <c r="AP32" s="575"/>
      <c r="AQ32" s="636"/>
      <c r="AR32" s="637"/>
      <c r="AS32" s="638"/>
      <c r="AT32" s="579"/>
      <c r="AU32" s="580"/>
    </row>
    <row r="33" spans="1:47" ht="21" hidden="1" customHeight="1">
      <c r="A33" t="s">
        <v>498</v>
      </c>
      <c r="B33" t="s">
        <v>468</v>
      </c>
      <c r="C33" s="759"/>
      <c r="D33" s="561" t="s">
        <v>52</v>
      </c>
      <c r="E33" s="561" t="s">
        <v>145</v>
      </c>
      <c r="F33" s="561" t="s">
        <v>44</v>
      </c>
      <c r="G33" s="561" t="s">
        <v>42</v>
      </c>
      <c r="H33" s="565">
        <v>11913.91</v>
      </c>
      <c r="I33" s="564">
        <v>494</v>
      </c>
      <c r="J33" s="565">
        <v>24.117226720647771</v>
      </c>
      <c r="K33" s="566">
        <v>424</v>
      </c>
      <c r="L33" s="567">
        <v>0.1417004048582996</v>
      </c>
      <c r="M33" s="564">
        <v>276</v>
      </c>
      <c r="N33" s="568">
        <v>0.34905660377358488</v>
      </c>
      <c r="O33" s="565">
        <v>43.166340579710145</v>
      </c>
      <c r="P33" s="564">
        <v>71</v>
      </c>
      <c r="Q33" s="569">
        <v>0.16745283018867924</v>
      </c>
      <c r="R33" s="571">
        <v>167.80154929577463</v>
      </c>
      <c r="S33" s="563" t="s">
        <v>123</v>
      </c>
      <c r="T33" s="564" t="s">
        <v>123</v>
      </c>
      <c r="U33" s="565" t="s">
        <v>123</v>
      </c>
      <c r="V33" s="566" t="s">
        <v>123</v>
      </c>
      <c r="W33" s="567" t="s">
        <v>123</v>
      </c>
      <c r="X33" s="564" t="s">
        <v>123</v>
      </c>
      <c r="Y33" s="568" t="s">
        <v>123</v>
      </c>
      <c r="Z33" s="565" t="s">
        <v>123</v>
      </c>
      <c r="AA33" s="591" t="s">
        <v>123</v>
      </c>
      <c r="AB33" s="569" t="s">
        <v>123</v>
      </c>
      <c r="AC33" s="571" t="s">
        <v>123</v>
      </c>
      <c r="AD33" s="572">
        <v>11913.91</v>
      </c>
      <c r="AE33" s="573">
        <v>494</v>
      </c>
      <c r="AF33" s="650">
        <v>24.117226720647771</v>
      </c>
      <c r="AG33" s="566">
        <v>424</v>
      </c>
      <c r="AH33" s="567">
        <v>0.1417004048582996</v>
      </c>
      <c r="AI33" s="564">
        <v>276</v>
      </c>
      <c r="AJ33" s="568">
        <v>0.34905660377358488</v>
      </c>
      <c r="AK33" s="565">
        <v>43.166340579710145</v>
      </c>
      <c r="AL33" s="574">
        <v>71</v>
      </c>
      <c r="AM33" s="569">
        <v>0.16745283018867924</v>
      </c>
      <c r="AN33" s="571">
        <v>167.80154929577463</v>
      </c>
      <c r="AO33" s="635"/>
      <c r="AP33" s="575"/>
      <c r="AQ33" s="636"/>
      <c r="AR33" s="637"/>
      <c r="AS33" s="638"/>
      <c r="AT33" s="579"/>
      <c r="AU33" s="580"/>
    </row>
    <row r="34" spans="1:47" ht="21" hidden="1" customHeight="1">
      <c r="A34" t="s">
        <v>499</v>
      </c>
      <c r="B34" t="s">
        <v>470</v>
      </c>
      <c r="C34" s="759"/>
      <c r="D34" s="561" t="s">
        <v>40</v>
      </c>
      <c r="E34" s="561" t="s">
        <v>57</v>
      </c>
      <c r="F34" s="561" t="s">
        <v>57</v>
      </c>
      <c r="G34" s="561" t="s">
        <v>42</v>
      </c>
      <c r="H34" s="565">
        <v>12920.49</v>
      </c>
      <c r="I34" s="564">
        <v>1491</v>
      </c>
      <c r="J34" s="565">
        <v>8.6656539235412477</v>
      </c>
      <c r="K34" s="566">
        <v>813</v>
      </c>
      <c r="L34" s="567">
        <v>0.45472837022132795</v>
      </c>
      <c r="M34" s="564">
        <v>393</v>
      </c>
      <c r="N34" s="568">
        <v>0.51660516605166051</v>
      </c>
      <c r="O34" s="565">
        <v>32.87656488549618</v>
      </c>
      <c r="P34" s="564">
        <v>40</v>
      </c>
      <c r="Q34" s="569">
        <v>4.9200492004920049E-2</v>
      </c>
      <c r="R34" s="571">
        <v>323.01224999999999</v>
      </c>
      <c r="S34" s="563">
        <v>12920.49</v>
      </c>
      <c r="T34" s="564">
        <v>1491</v>
      </c>
      <c r="U34" s="565">
        <v>8.6656539235412477</v>
      </c>
      <c r="V34" s="566">
        <v>813</v>
      </c>
      <c r="W34" s="567">
        <v>0.45472837022132795</v>
      </c>
      <c r="X34" s="564">
        <v>393</v>
      </c>
      <c r="Y34" s="568">
        <v>0.51660516605166051</v>
      </c>
      <c r="Z34" s="565">
        <v>32.87656488549618</v>
      </c>
      <c r="AA34" s="591">
        <v>40</v>
      </c>
      <c r="AB34" s="569">
        <v>4.9200492004920049E-2</v>
      </c>
      <c r="AC34" s="571">
        <v>323.01224999999999</v>
      </c>
      <c r="AD34" s="572" t="s">
        <v>123</v>
      </c>
      <c r="AE34" s="573" t="s">
        <v>123</v>
      </c>
      <c r="AF34" s="650" t="s">
        <v>123</v>
      </c>
      <c r="AG34" s="566" t="s">
        <v>123</v>
      </c>
      <c r="AH34" s="567" t="s">
        <v>123</v>
      </c>
      <c r="AI34" s="564" t="s">
        <v>123</v>
      </c>
      <c r="AJ34" s="568" t="s">
        <v>123</v>
      </c>
      <c r="AK34" s="565" t="s">
        <v>123</v>
      </c>
      <c r="AL34" s="574" t="s">
        <v>123</v>
      </c>
      <c r="AM34" s="569" t="s">
        <v>123</v>
      </c>
      <c r="AN34" s="571" t="s">
        <v>123</v>
      </c>
      <c r="AO34" s="635"/>
      <c r="AP34" s="575"/>
      <c r="AQ34" s="636"/>
      <c r="AR34" s="637"/>
      <c r="AS34" s="638"/>
      <c r="AT34" s="579"/>
      <c r="AU34" s="580"/>
    </row>
    <row r="35" spans="1:47" ht="21" hidden="1" customHeight="1">
      <c r="A35" t="s">
        <v>500</v>
      </c>
      <c r="B35" t="s">
        <v>472</v>
      </c>
      <c r="C35" s="759"/>
      <c r="D35" s="561" t="s">
        <v>52</v>
      </c>
      <c r="E35" s="561" t="s">
        <v>121</v>
      </c>
      <c r="F35" s="561" t="s">
        <v>44</v>
      </c>
      <c r="G35" s="561" t="s">
        <v>42</v>
      </c>
      <c r="H35" s="565">
        <v>0</v>
      </c>
      <c r="I35" s="564">
        <v>0</v>
      </c>
      <c r="J35" s="565" t="s">
        <v>123</v>
      </c>
      <c r="K35" s="566">
        <v>0</v>
      </c>
      <c r="L35" s="567" t="s">
        <v>123</v>
      </c>
      <c r="M35" s="564">
        <v>0</v>
      </c>
      <c r="N35" s="568" t="s">
        <v>123</v>
      </c>
      <c r="O35" s="565" t="s">
        <v>123</v>
      </c>
      <c r="P35" s="564">
        <v>0</v>
      </c>
      <c r="Q35" s="569" t="s">
        <v>123</v>
      </c>
      <c r="R35" s="571" t="s">
        <v>123</v>
      </c>
      <c r="S35" s="563" t="s">
        <v>123</v>
      </c>
      <c r="T35" s="564" t="s">
        <v>123</v>
      </c>
      <c r="U35" s="565" t="s">
        <v>123</v>
      </c>
      <c r="V35" s="566" t="s">
        <v>123</v>
      </c>
      <c r="W35" s="567" t="s">
        <v>123</v>
      </c>
      <c r="X35" s="564" t="s">
        <v>123</v>
      </c>
      <c r="Y35" s="568" t="s">
        <v>123</v>
      </c>
      <c r="Z35" s="565" t="s">
        <v>123</v>
      </c>
      <c r="AA35" s="591" t="s">
        <v>123</v>
      </c>
      <c r="AB35" s="569" t="s">
        <v>123</v>
      </c>
      <c r="AC35" s="571" t="s">
        <v>123</v>
      </c>
      <c r="AD35" s="572">
        <v>0</v>
      </c>
      <c r="AE35" s="573">
        <v>0</v>
      </c>
      <c r="AF35" s="650" t="s">
        <v>123</v>
      </c>
      <c r="AG35" s="566">
        <v>0</v>
      </c>
      <c r="AH35" s="567" t="s">
        <v>123</v>
      </c>
      <c r="AI35" s="564">
        <v>0</v>
      </c>
      <c r="AJ35" s="568" t="s">
        <v>123</v>
      </c>
      <c r="AK35" s="565" t="s">
        <v>123</v>
      </c>
      <c r="AL35" s="574">
        <v>0</v>
      </c>
      <c r="AM35" s="569" t="s">
        <v>123</v>
      </c>
      <c r="AN35" s="571" t="s">
        <v>123</v>
      </c>
      <c r="AO35" s="635"/>
      <c r="AP35" s="575"/>
      <c r="AQ35" s="636"/>
      <c r="AR35" s="637"/>
      <c r="AS35" s="638"/>
      <c r="AT35" s="579"/>
      <c r="AU35" s="580"/>
    </row>
    <row r="36" spans="1:47" ht="21" hidden="1" customHeight="1">
      <c r="A36" t="s">
        <v>501</v>
      </c>
      <c r="B36" t="s">
        <v>474</v>
      </c>
      <c r="C36" s="759"/>
      <c r="D36" s="561" t="s">
        <v>40</v>
      </c>
      <c r="E36" s="561" t="s">
        <v>142</v>
      </c>
      <c r="F36" s="561" t="s">
        <v>44</v>
      </c>
      <c r="G36" s="561" t="s">
        <v>60</v>
      </c>
      <c r="H36" s="565">
        <v>1266.1400000000001</v>
      </c>
      <c r="I36" s="564">
        <v>71</v>
      </c>
      <c r="J36" s="565">
        <v>17.832957746478876</v>
      </c>
      <c r="K36" s="566">
        <v>63</v>
      </c>
      <c r="L36" s="567">
        <v>0.11267605633802817</v>
      </c>
      <c r="M36" s="564">
        <v>35</v>
      </c>
      <c r="N36" s="568">
        <v>0.44444444444444442</v>
      </c>
      <c r="O36" s="565">
        <v>36.175428571428576</v>
      </c>
      <c r="P36" s="564">
        <v>9</v>
      </c>
      <c r="Q36" s="569">
        <v>0.14285714285714285</v>
      </c>
      <c r="R36" s="571">
        <v>140.68222222222224</v>
      </c>
      <c r="S36" s="563" t="s">
        <v>123</v>
      </c>
      <c r="T36" s="564" t="s">
        <v>123</v>
      </c>
      <c r="U36" s="565" t="s">
        <v>123</v>
      </c>
      <c r="V36" s="566" t="s">
        <v>123</v>
      </c>
      <c r="W36" s="567" t="s">
        <v>123</v>
      </c>
      <c r="X36" s="564" t="s">
        <v>123</v>
      </c>
      <c r="Y36" s="568" t="s">
        <v>123</v>
      </c>
      <c r="Z36" s="565" t="s">
        <v>123</v>
      </c>
      <c r="AA36" s="591" t="s">
        <v>123</v>
      </c>
      <c r="AB36" s="569" t="s">
        <v>123</v>
      </c>
      <c r="AC36" s="571" t="s">
        <v>123</v>
      </c>
      <c r="AD36" s="572">
        <v>1266.1400000000001</v>
      </c>
      <c r="AE36" s="573">
        <v>71</v>
      </c>
      <c r="AF36" s="650">
        <v>17.832957746478876</v>
      </c>
      <c r="AG36" s="566">
        <v>63</v>
      </c>
      <c r="AH36" s="567">
        <v>0.11267605633802817</v>
      </c>
      <c r="AI36" s="564">
        <v>35</v>
      </c>
      <c r="AJ36" s="568">
        <v>0.44444444444444442</v>
      </c>
      <c r="AK36" s="565">
        <v>36.175428571428576</v>
      </c>
      <c r="AL36" s="574">
        <v>9</v>
      </c>
      <c r="AM36" s="569">
        <v>0.14285714285714285</v>
      </c>
      <c r="AN36" s="571">
        <v>140.68222222222224</v>
      </c>
      <c r="AO36" s="635"/>
      <c r="AP36" s="575"/>
      <c r="AQ36" s="636"/>
      <c r="AR36" s="637"/>
      <c r="AS36" s="638"/>
      <c r="AT36" s="579"/>
      <c r="AU36" s="580"/>
    </row>
    <row r="37" spans="1:47" ht="21" hidden="1" customHeight="1">
      <c r="A37" t="s">
        <v>502</v>
      </c>
      <c r="B37" t="s">
        <v>476</v>
      </c>
      <c r="C37" s="759"/>
      <c r="D37" s="561" t="s">
        <v>52</v>
      </c>
      <c r="E37" s="561" t="s">
        <v>145</v>
      </c>
      <c r="F37" s="561" t="s">
        <v>44</v>
      </c>
      <c r="G37" s="561" t="s">
        <v>60</v>
      </c>
      <c r="H37" s="565">
        <v>19717.11</v>
      </c>
      <c r="I37" s="564">
        <v>654</v>
      </c>
      <c r="J37" s="565">
        <v>30.148486238532112</v>
      </c>
      <c r="K37" s="566">
        <v>549</v>
      </c>
      <c r="L37" s="567">
        <v>0.16055045871559634</v>
      </c>
      <c r="M37" s="564">
        <v>375</v>
      </c>
      <c r="N37" s="568">
        <v>0.31693989071038253</v>
      </c>
      <c r="O37" s="565">
        <v>52.578960000000002</v>
      </c>
      <c r="P37" s="564">
        <v>124</v>
      </c>
      <c r="Q37" s="569">
        <v>0.22586520947176686</v>
      </c>
      <c r="R37" s="571">
        <v>159.00895161290322</v>
      </c>
      <c r="S37" s="563" t="s">
        <v>123</v>
      </c>
      <c r="T37" s="564" t="s">
        <v>123</v>
      </c>
      <c r="U37" s="565" t="s">
        <v>123</v>
      </c>
      <c r="V37" s="566" t="s">
        <v>123</v>
      </c>
      <c r="W37" s="567" t="s">
        <v>123</v>
      </c>
      <c r="X37" s="564" t="s">
        <v>123</v>
      </c>
      <c r="Y37" s="568" t="s">
        <v>123</v>
      </c>
      <c r="Z37" s="565" t="s">
        <v>123</v>
      </c>
      <c r="AA37" s="591" t="s">
        <v>123</v>
      </c>
      <c r="AB37" s="569" t="s">
        <v>123</v>
      </c>
      <c r="AC37" s="571" t="s">
        <v>123</v>
      </c>
      <c r="AD37" s="572">
        <v>19717.11</v>
      </c>
      <c r="AE37" s="573">
        <v>654</v>
      </c>
      <c r="AF37" s="650">
        <v>30.148486238532112</v>
      </c>
      <c r="AG37" s="566">
        <v>549</v>
      </c>
      <c r="AH37" s="567">
        <v>0.16055045871559634</v>
      </c>
      <c r="AI37" s="564">
        <v>375</v>
      </c>
      <c r="AJ37" s="568">
        <v>0.31693989071038253</v>
      </c>
      <c r="AK37" s="565">
        <v>52.578960000000002</v>
      </c>
      <c r="AL37" s="574">
        <v>124</v>
      </c>
      <c r="AM37" s="569">
        <v>0.22586520947176686</v>
      </c>
      <c r="AN37" s="571">
        <v>159.00895161290322</v>
      </c>
      <c r="AO37" s="635"/>
      <c r="AP37" s="575"/>
      <c r="AQ37" s="636"/>
      <c r="AR37" s="637"/>
      <c r="AS37" s="638"/>
      <c r="AT37" s="579"/>
      <c r="AU37" s="580"/>
    </row>
    <row r="38" spans="1:47" ht="21" hidden="1" customHeight="1">
      <c r="A38" t="s">
        <v>503</v>
      </c>
      <c r="B38" t="s">
        <v>478</v>
      </c>
      <c r="C38" s="760"/>
      <c r="D38" s="584" t="s">
        <v>40</v>
      </c>
      <c r="E38" s="584" t="s">
        <v>57</v>
      </c>
      <c r="F38" s="584" t="s">
        <v>57</v>
      </c>
      <c r="G38" s="584" t="s">
        <v>60</v>
      </c>
      <c r="H38" s="565">
        <v>48826.29</v>
      </c>
      <c r="I38" s="581">
        <v>6515</v>
      </c>
      <c r="J38" s="582">
        <v>7.4944420567920185</v>
      </c>
      <c r="K38" s="566">
        <v>4001</v>
      </c>
      <c r="L38" s="567">
        <v>0.3858787413660783</v>
      </c>
      <c r="M38" s="564">
        <v>2339</v>
      </c>
      <c r="N38" s="568">
        <v>0.41539615096225946</v>
      </c>
      <c r="O38" s="586">
        <v>20.874856776400172</v>
      </c>
      <c r="P38" s="564">
        <v>602</v>
      </c>
      <c r="Q38" s="569">
        <v>0.15046238440389903</v>
      </c>
      <c r="R38" s="571">
        <v>81.10679401993356</v>
      </c>
      <c r="S38" s="563">
        <v>48826.29</v>
      </c>
      <c r="T38" s="564">
        <v>6515</v>
      </c>
      <c r="U38" s="565">
        <v>7.4944420567920185</v>
      </c>
      <c r="V38" s="566">
        <v>4001</v>
      </c>
      <c r="W38" s="567">
        <v>0.3858787413660783</v>
      </c>
      <c r="X38" s="564">
        <v>2339</v>
      </c>
      <c r="Y38" s="568">
        <v>0.41539615096225946</v>
      </c>
      <c r="Z38" s="586">
        <v>20.874856776400172</v>
      </c>
      <c r="AA38" s="591">
        <v>602</v>
      </c>
      <c r="AB38" s="569">
        <v>0.15046238440389903</v>
      </c>
      <c r="AC38" s="571">
        <v>81.10679401993356</v>
      </c>
      <c r="AD38" s="572" t="s">
        <v>123</v>
      </c>
      <c r="AE38" s="573" t="s">
        <v>123</v>
      </c>
      <c r="AF38" s="650" t="s">
        <v>123</v>
      </c>
      <c r="AG38" s="566" t="s">
        <v>123</v>
      </c>
      <c r="AH38" s="567" t="s">
        <v>123</v>
      </c>
      <c r="AI38" s="564" t="s">
        <v>123</v>
      </c>
      <c r="AJ38" s="568" t="s">
        <v>123</v>
      </c>
      <c r="AK38" s="586" t="s">
        <v>123</v>
      </c>
      <c r="AL38" s="574" t="s">
        <v>123</v>
      </c>
      <c r="AM38" s="569" t="s">
        <v>123</v>
      </c>
      <c r="AN38" s="571" t="s">
        <v>123</v>
      </c>
      <c r="AO38" s="635"/>
      <c r="AP38" s="587"/>
      <c r="AQ38" s="636"/>
      <c r="AR38" s="641"/>
      <c r="AS38" s="638"/>
      <c r="AT38" s="579"/>
      <c r="AU38" s="580"/>
    </row>
    <row r="39" spans="1:47" ht="49.95" customHeight="1">
      <c r="C39" s="758" t="s">
        <v>185</v>
      </c>
      <c r="D39" s="541"/>
      <c r="E39" s="541"/>
      <c r="F39" s="541"/>
      <c r="G39" s="541" t="s">
        <v>139</v>
      </c>
      <c r="H39" s="545">
        <v>113346.63</v>
      </c>
      <c r="I39" s="544">
        <v>9721</v>
      </c>
      <c r="J39" s="545">
        <v>11.659976339882729</v>
      </c>
      <c r="K39" s="546">
        <v>5983</v>
      </c>
      <c r="L39" s="547">
        <v>0.3845283407056887</v>
      </c>
      <c r="M39" s="544">
        <v>5612</v>
      </c>
      <c r="N39" s="548">
        <v>6.2009025572455287E-2</v>
      </c>
      <c r="O39" s="549">
        <v>20.197189950106914</v>
      </c>
      <c r="P39" s="629">
        <v>1018</v>
      </c>
      <c r="Q39" s="548">
        <v>0.17014875480528163</v>
      </c>
      <c r="R39" s="551">
        <v>111.34246561886052</v>
      </c>
      <c r="S39" s="543">
        <v>72022.3</v>
      </c>
      <c r="T39" s="544">
        <v>8098</v>
      </c>
      <c r="U39" s="545">
        <v>8.8938379846875772</v>
      </c>
      <c r="V39" s="546">
        <v>4668</v>
      </c>
      <c r="W39" s="547">
        <v>0.42356137317856263</v>
      </c>
      <c r="X39" s="544">
        <v>4376</v>
      </c>
      <c r="Y39" s="548">
        <v>6.2553556126820911E-2</v>
      </c>
      <c r="Z39" s="549">
        <v>16.458478062157223</v>
      </c>
      <c r="AA39" s="629">
        <v>759</v>
      </c>
      <c r="AB39" s="548">
        <v>0.16259640102827763</v>
      </c>
      <c r="AC39" s="551">
        <v>94.891040843214753</v>
      </c>
      <c r="AD39" s="552">
        <v>41324.33</v>
      </c>
      <c r="AE39" s="553">
        <v>1623</v>
      </c>
      <c r="AF39" s="549">
        <v>25.461694393099201</v>
      </c>
      <c r="AG39" s="546">
        <v>1315</v>
      </c>
      <c r="AH39" s="547">
        <v>0.18977202711028959</v>
      </c>
      <c r="AI39" s="553">
        <v>1236</v>
      </c>
      <c r="AJ39" s="548">
        <v>6.0076045627376423E-2</v>
      </c>
      <c r="AK39" s="549">
        <v>33.43392394822007</v>
      </c>
      <c r="AL39" s="554">
        <v>259</v>
      </c>
      <c r="AM39" s="548">
        <v>0.19695817490494297</v>
      </c>
      <c r="AN39" s="551">
        <v>159.55339768339769</v>
      </c>
      <c r="AO39" s="630">
        <v>0.85970000000000002</v>
      </c>
      <c r="AP39" s="555">
        <v>0.78580000000000005</v>
      </c>
      <c r="AQ39" s="631">
        <v>0.7944</v>
      </c>
      <c r="AR39" s="632">
        <v>0.79239999999999999</v>
      </c>
      <c r="AS39" s="633">
        <v>2.08</v>
      </c>
      <c r="AT39" s="589" t="s">
        <v>504</v>
      </c>
      <c r="AU39" s="589" t="s">
        <v>505</v>
      </c>
    </row>
    <row r="40" spans="1:47" ht="21" hidden="1" customHeight="1">
      <c r="A40" t="s">
        <v>506</v>
      </c>
      <c r="B40" t="s">
        <v>466</v>
      </c>
      <c r="C40" s="759"/>
      <c r="D40" s="561" t="s">
        <v>40</v>
      </c>
      <c r="E40" s="561" t="s">
        <v>142</v>
      </c>
      <c r="F40" s="561" t="s">
        <v>44</v>
      </c>
      <c r="G40" s="561" t="s">
        <v>42</v>
      </c>
      <c r="H40" s="565">
        <v>1475.34</v>
      </c>
      <c r="I40" s="564">
        <v>83</v>
      </c>
      <c r="J40" s="565">
        <v>17.775180722891566</v>
      </c>
      <c r="K40" s="566">
        <v>62</v>
      </c>
      <c r="L40" s="567">
        <v>0.25301204819277107</v>
      </c>
      <c r="M40" s="564">
        <v>57</v>
      </c>
      <c r="N40" s="568">
        <v>8.0645161290322578E-2</v>
      </c>
      <c r="O40" s="565">
        <v>25.88315789473684</v>
      </c>
      <c r="P40" s="564">
        <v>19</v>
      </c>
      <c r="Q40" s="569">
        <v>0.30645161290322581</v>
      </c>
      <c r="R40" s="571">
        <v>77.64947368421052</v>
      </c>
      <c r="S40" s="563" t="s">
        <v>123</v>
      </c>
      <c r="T40" s="564" t="s">
        <v>123</v>
      </c>
      <c r="U40" s="565" t="s">
        <v>123</v>
      </c>
      <c r="V40" s="566" t="s">
        <v>123</v>
      </c>
      <c r="W40" s="567" t="s">
        <v>123</v>
      </c>
      <c r="X40" s="564" t="s">
        <v>123</v>
      </c>
      <c r="Y40" s="568" t="s">
        <v>123</v>
      </c>
      <c r="Z40" s="565" t="s">
        <v>123</v>
      </c>
      <c r="AA40" s="591" t="s">
        <v>123</v>
      </c>
      <c r="AB40" s="569" t="s">
        <v>123</v>
      </c>
      <c r="AC40" s="571" t="s">
        <v>123</v>
      </c>
      <c r="AD40" s="572">
        <v>1475.34</v>
      </c>
      <c r="AE40" s="573">
        <v>83</v>
      </c>
      <c r="AF40" s="650">
        <v>17.775180722891566</v>
      </c>
      <c r="AG40" s="566">
        <v>62</v>
      </c>
      <c r="AH40" s="567">
        <v>0.25301204819277107</v>
      </c>
      <c r="AI40" s="564">
        <v>57</v>
      </c>
      <c r="AJ40" s="568">
        <v>8.0645161290322578E-2</v>
      </c>
      <c r="AK40" s="565">
        <v>25.88315789473684</v>
      </c>
      <c r="AL40" s="574">
        <v>19</v>
      </c>
      <c r="AM40" s="569">
        <v>0.30645161290322581</v>
      </c>
      <c r="AN40" s="571">
        <v>77.64947368421052</v>
      </c>
      <c r="AO40" s="635"/>
      <c r="AP40" s="575"/>
      <c r="AQ40" s="636"/>
      <c r="AR40" s="637"/>
      <c r="AS40" s="633">
        <v>2.08</v>
      </c>
      <c r="AT40" s="579"/>
      <c r="AU40" s="580"/>
    </row>
    <row r="41" spans="1:47" ht="21" hidden="1" customHeight="1">
      <c r="A41" t="s">
        <v>507</v>
      </c>
      <c r="B41" t="s">
        <v>468</v>
      </c>
      <c r="C41" s="759"/>
      <c r="D41" s="561" t="s">
        <v>52</v>
      </c>
      <c r="E41" s="561" t="s">
        <v>145</v>
      </c>
      <c r="F41" s="561" t="s">
        <v>44</v>
      </c>
      <c r="G41" s="561" t="s">
        <v>42</v>
      </c>
      <c r="H41" s="565">
        <v>16400.7</v>
      </c>
      <c r="I41" s="564">
        <v>655</v>
      </c>
      <c r="J41" s="565">
        <v>25.039236641221375</v>
      </c>
      <c r="K41" s="566">
        <v>544</v>
      </c>
      <c r="L41" s="567">
        <v>0.16946564885496182</v>
      </c>
      <c r="M41" s="564">
        <v>510</v>
      </c>
      <c r="N41" s="568">
        <v>6.25E-2</v>
      </c>
      <c r="O41" s="565">
        <v>32.158235294117645</v>
      </c>
      <c r="P41" s="564">
        <v>89</v>
      </c>
      <c r="Q41" s="569">
        <v>0.16360294117647059</v>
      </c>
      <c r="R41" s="571">
        <v>184.27752808988765</v>
      </c>
      <c r="S41" s="563" t="s">
        <v>123</v>
      </c>
      <c r="T41" s="564" t="s">
        <v>123</v>
      </c>
      <c r="U41" s="565" t="s">
        <v>123</v>
      </c>
      <c r="V41" s="566" t="s">
        <v>123</v>
      </c>
      <c r="W41" s="567" t="s">
        <v>123</v>
      </c>
      <c r="X41" s="564" t="s">
        <v>123</v>
      </c>
      <c r="Y41" s="568" t="s">
        <v>123</v>
      </c>
      <c r="Z41" s="565" t="s">
        <v>123</v>
      </c>
      <c r="AA41" s="591" t="s">
        <v>123</v>
      </c>
      <c r="AB41" s="569" t="s">
        <v>123</v>
      </c>
      <c r="AC41" s="571" t="s">
        <v>123</v>
      </c>
      <c r="AD41" s="572">
        <v>16400.7</v>
      </c>
      <c r="AE41" s="573">
        <v>655</v>
      </c>
      <c r="AF41" s="650">
        <v>25.039236641221375</v>
      </c>
      <c r="AG41" s="566">
        <v>544</v>
      </c>
      <c r="AH41" s="567">
        <v>0.16946564885496182</v>
      </c>
      <c r="AI41" s="564">
        <v>510</v>
      </c>
      <c r="AJ41" s="568">
        <v>6.25E-2</v>
      </c>
      <c r="AK41" s="565">
        <v>32.158235294117645</v>
      </c>
      <c r="AL41" s="574">
        <v>89</v>
      </c>
      <c r="AM41" s="569">
        <v>0.16360294117647059</v>
      </c>
      <c r="AN41" s="571">
        <v>184.27752808988765</v>
      </c>
      <c r="AO41" s="635"/>
      <c r="AP41" s="575"/>
      <c r="AQ41" s="636"/>
      <c r="AR41" s="637"/>
      <c r="AS41" s="633">
        <v>2.08</v>
      </c>
      <c r="AT41" s="579"/>
      <c r="AU41" s="580"/>
    </row>
    <row r="42" spans="1:47" ht="21" hidden="1" customHeight="1">
      <c r="A42" t="s">
        <v>508</v>
      </c>
      <c r="B42" t="s">
        <v>470</v>
      </c>
      <c r="C42" s="759"/>
      <c r="D42" s="561" t="s">
        <v>40</v>
      </c>
      <c r="E42" s="561" t="s">
        <v>57</v>
      </c>
      <c r="F42" s="561" t="s">
        <v>57</v>
      </c>
      <c r="G42" s="561" t="s">
        <v>42</v>
      </c>
      <c r="H42" s="565">
        <v>14000</v>
      </c>
      <c r="I42" s="564">
        <v>1759</v>
      </c>
      <c r="J42" s="565">
        <v>7.959067652075043</v>
      </c>
      <c r="K42" s="566">
        <v>687</v>
      </c>
      <c r="L42" s="567">
        <v>0.60943718021603188</v>
      </c>
      <c r="M42" s="564">
        <v>580</v>
      </c>
      <c r="N42" s="568">
        <v>0.15574963609898107</v>
      </c>
      <c r="O42" s="565">
        <v>24.137931034482758</v>
      </c>
      <c r="P42" s="564">
        <v>55</v>
      </c>
      <c r="Q42" s="569">
        <v>8.0058224163027658E-2</v>
      </c>
      <c r="R42" s="571">
        <v>254.54545454545453</v>
      </c>
      <c r="S42" s="563">
        <v>14000</v>
      </c>
      <c r="T42" s="564">
        <v>1759</v>
      </c>
      <c r="U42" s="565">
        <v>7.959067652075043</v>
      </c>
      <c r="V42" s="566">
        <v>687</v>
      </c>
      <c r="W42" s="567">
        <v>0.60943718021603188</v>
      </c>
      <c r="X42" s="564">
        <v>580</v>
      </c>
      <c r="Y42" s="568">
        <v>0.15574963609898107</v>
      </c>
      <c r="Z42" s="565">
        <v>24.137931034482758</v>
      </c>
      <c r="AA42" s="591">
        <v>55</v>
      </c>
      <c r="AB42" s="569">
        <v>8.0058224163027658E-2</v>
      </c>
      <c r="AC42" s="571">
        <v>254.54545454545453</v>
      </c>
      <c r="AD42" s="572" t="s">
        <v>123</v>
      </c>
      <c r="AE42" s="573" t="s">
        <v>123</v>
      </c>
      <c r="AF42" s="650" t="s">
        <v>123</v>
      </c>
      <c r="AG42" s="566" t="s">
        <v>123</v>
      </c>
      <c r="AH42" s="567" t="s">
        <v>123</v>
      </c>
      <c r="AI42" s="564" t="s">
        <v>123</v>
      </c>
      <c r="AJ42" s="568" t="s">
        <v>123</v>
      </c>
      <c r="AK42" s="565" t="s">
        <v>123</v>
      </c>
      <c r="AL42" s="574" t="s">
        <v>123</v>
      </c>
      <c r="AM42" s="569" t="s">
        <v>123</v>
      </c>
      <c r="AN42" s="571" t="s">
        <v>123</v>
      </c>
      <c r="AO42" s="635"/>
      <c r="AP42" s="575"/>
      <c r="AQ42" s="636"/>
      <c r="AR42" s="637"/>
      <c r="AS42" s="633">
        <v>2.08</v>
      </c>
      <c r="AT42" s="579"/>
      <c r="AU42" s="580"/>
    </row>
    <row r="43" spans="1:47" ht="21" hidden="1" customHeight="1">
      <c r="A43" t="s">
        <v>509</v>
      </c>
      <c r="B43" t="s">
        <v>472</v>
      </c>
      <c r="C43" s="759"/>
      <c r="D43" s="561" t="s">
        <v>52</v>
      </c>
      <c r="E43" s="561" t="s">
        <v>121</v>
      </c>
      <c r="F43" s="561" t="s">
        <v>44</v>
      </c>
      <c r="G43" s="561" t="s">
        <v>42</v>
      </c>
      <c r="H43" s="565">
        <v>0</v>
      </c>
      <c r="I43" s="564">
        <v>0</v>
      </c>
      <c r="J43" s="565" t="s">
        <v>123</v>
      </c>
      <c r="K43" s="566">
        <v>0</v>
      </c>
      <c r="L43" s="567" t="s">
        <v>123</v>
      </c>
      <c r="M43" s="564">
        <v>0</v>
      </c>
      <c r="N43" s="568" t="s">
        <v>123</v>
      </c>
      <c r="O43" s="565" t="s">
        <v>123</v>
      </c>
      <c r="P43" s="564">
        <v>0</v>
      </c>
      <c r="Q43" s="569" t="s">
        <v>123</v>
      </c>
      <c r="R43" s="571" t="s">
        <v>123</v>
      </c>
      <c r="S43" s="563" t="s">
        <v>123</v>
      </c>
      <c r="T43" s="564" t="s">
        <v>123</v>
      </c>
      <c r="U43" s="565" t="s">
        <v>123</v>
      </c>
      <c r="V43" s="566" t="s">
        <v>123</v>
      </c>
      <c r="W43" s="567" t="s">
        <v>123</v>
      </c>
      <c r="X43" s="564" t="s">
        <v>123</v>
      </c>
      <c r="Y43" s="568" t="s">
        <v>123</v>
      </c>
      <c r="Z43" s="565" t="s">
        <v>123</v>
      </c>
      <c r="AA43" s="591" t="s">
        <v>123</v>
      </c>
      <c r="AB43" s="569" t="s">
        <v>123</v>
      </c>
      <c r="AC43" s="571" t="s">
        <v>123</v>
      </c>
      <c r="AD43" s="572">
        <v>0</v>
      </c>
      <c r="AE43" s="573">
        <v>0</v>
      </c>
      <c r="AF43" s="650" t="s">
        <v>123</v>
      </c>
      <c r="AG43" s="566">
        <v>0</v>
      </c>
      <c r="AH43" s="567" t="s">
        <v>123</v>
      </c>
      <c r="AI43" s="564">
        <v>0</v>
      </c>
      <c r="AJ43" s="568" t="s">
        <v>123</v>
      </c>
      <c r="AK43" s="565" t="s">
        <v>123</v>
      </c>
      <c r="AL43" s="574">
        <v>0</v>
      </c>
      <c r="AM43" s="569" t="s">
        <v>123</v>
      </c>
      <c r="AN43" s="571" t="s">
        <v>123</v>
      </c>
      <c r="AO43" s="635"/>
      <c r="AP43" s="575"/>
      <c r="AQ43" s="636"/>
      <c r="AR43" s="637"/>
      <c r="AS43" s="633">
        <v>2.08</v>
      </c>
      <c r="AT43" s="579"/>
      <c r="AU43" s="580"/>
    </row>
    <row r="44" spans="1:47" ht="21" hidden="1" customHeight="1">
      <c r="A44" t="s">
        <v>510</v>
      </c>
      <c r="B44" t="s">
        <v>474</v>
      </c>
      <c r="C44" s="759"/>
      <c r="D44" s="561" t="s">
        <v>40</v>
      </c>
      <c r="E44" s="561" t="s">
        <v>142</v>
      </c>
      <c r="F44" s="561" t="s">
        <v>44</v>
      </c>
      <c r="G44" s="561" t="s">
        <v>60</v>
      </c>
      <c r="H44" s="565">
        <v>3048.6</v>
      </c>
      <c r="I44" s="564">
        <v>155</v>
      </c>
      <c r="J44" s="565">
        <v>19.668387096774193</v>
      </c>
      <c r="K44" s="566">
        <v>128</v>
      </c>
      <c r="L44" s="567">
        <v>0.17419354838709677</v>
      </c>
      <c r="M44" s="564">
        <v>111</v>
      </c>
      <c r="N44" s="568">
        <v>0.1328125</v>
      </c>
      <c r="O44" s="565">
        <v>27.464864864864865</v>
      </c>
      <c r="P44" s="564">
        <v>17</v>
      </c>
      <c r="Q44" s="569">
        <v>0.1328125</v>
      </c>
      <c r="R44" s="571">
        <v>179.32941176470587</v>
      </c>
      <c r="S44" s="563" t="s">
        <v>123</v>
      </c>
      <c r="T44" s="564" t="s">
        <v>123</v>
      </c>
      <c r="U44" s="565" t="s">
        <v>123</v>
      </c>
      <c r="V44" s="566" t="s">
        <v>123</v>
      </c>
      <c r="W44" s="567" t="s">
        <v>123</v>
      </c>
      <c r="X44" s="564" t="s">
        <v>123</v>
      </c>
      <c r="Y44" s="568" t="s">
        <v>123</v>
      </c>
      <c r="Z44" s="565" t="s">
        <v>123</v>
      </c>
      <c r="AA44" s="591" t="s">
        <v>123</v>
      </c>
      <c r="AB44" s="569" t="s">
        <v>123</v>
      </c>
      <c r="AC44" s="571" t="s">
        <v>123</v>
      </c>
      <c r="AD44" s="572">
        <v>3048.6</v>
      </c>
      <c r="AE44" s="573">
        <v>155</v>
      </c>
      <c r="AF44" s="650">
        <v>19.668387096774193</v>
      </c>
      <c r="AG44" s="566">
        <v>128</v>
      </c>
      <c r="AH44" s="567">
        <v>0.17419354838709677</v>
      </c>
      <c r="AI44" s="564">
        <v>111</v>
      </c>
      <c r="AJ44" s="568">
        <v>0.1328125</v>
      </c>
      <c r="AK44" s="565">
        <v>27.464864864864865</v>
      </c>
      <c r="AL44" s="574">
        <v>17</v>
      </c>
      <c r="AM44" s="569">
        <v>0.1328125</v>
      </c>
      <c r="AN44" s="571">
        <v>179.32941176470587</v>
      </c>
      <c r="AO44" s="635"/>
      <c r="AP44" s="575"/>
      <c r="AQ44" s="636"/>
      <c r="AR44" s="637"/>
      <c r="AS44" s="633">
        <v>2.08</v>
      </c>
      <c r="AT44" s="579"/>
      <c r="AU44" s="580"/>
    </row>
    <row r="45" spans="1:47" ht="21" hidden="1" customHeight="1">
      <c r="A45" t="s">
        <v>511</v>
      </c>
      <c r="B45" t="s">
        <v>476</v>
      </c>
      <c r="C45" s="759"/>
      <c r="D45" s="561" t="s">
        <v>52</v>
      </c>
      <c r="E45" s="561" t="s">
        <v>145</v>
      </c>
      <c r="F45" s="561" t="s">
        <v>44</v>
      </c>
      <c r="G45" s="561" t="s">
        <v>60</v>
      </c>
      <c r="H45" s="565">
        <v>20399.689999999999</v>
      </c>
      <c r="I45" s="564">
        <v>730</v>
      </c>
      <c r="J45" s="565">
        <v>27.944780821917806</v>
      </c>
      <c r="K45" s="566">
        <v>581</v>
      </c>
      <c r="L45" s="567">
        <v>0.20410958904109588</v>
      </c>
      <c r="M45" s="564">
        <v>558</v>
      </c>
      <c r="N45" s="568">
        <v>3.9586919104991396E-2</v>
      </c>
      <c r="O45" s="565">
        <v>36.558584229390682</v>
      </c>
      <c r="P45" s="564">
        <v>134</v>
      </c>
      <c r="Q45" s="569">
        <v>0.23063683304647159</v>
      </c>
      <c r="R45" s="571">
        <v>152.23649253731341</v>
      </c>
      <c r="S45" s="563" t="s">
        <v>123</v>
      </c>
      <c r="T45" s="564" t="s">
        <v>123</v>
      </c>
      <c r="U45" s="565" t="s">
        <v>123</v>
      </c>
      <c r="V45" s="566" t="s">
        <v>123</v>
      </c>
      <c r="W45" s="567" t="s">
        <v>123</v>
      </c>
      <c r="X45" s="564" t="s">
        <v>123</v>
      </c>
      <c r="Y45" s="568" t="s">
        <v>123</v>
      </c>
      <c r="Z45" s="565" t="s">
        <v>123</v>
      </c>
      <c r="AA45" s="591" t="s">
        <v>123</v>
      </c>
      <c r="AB45" s="569" t="s">
        <v>123</v>
      </c>
      <c r="AC45" s="571" t="s">
        <v>123</v>
      </c>
      <c r="AD45" s="572">
        <v>20399.689999999999</v>
      </c>
      <c r="AE45" s="573">
        <v>730</v>
      </c>
      <c r="AF45" s="650">
        <v>27.944780821917806</v>
      </c>
      <c r="AG45" s="566">
        <v>581</v>
      </c>
      <c r="AH45" s="567">
        <v>0.20410958904109588</v>
      </c>
      <c r="AI45" s="564">
        <v>558</v>
      </c>
      <c r="AJ45" s="568">
        <v>3.9586919104991396E-2</v>
      </c>
      <c r="AK45" s="565">
        <v>36.558584229390682</v>
      </c>
      <c r="AL45" s="574">
        <v>134</v>
      </c>
      <c r="AM45" s="569">
        <v>0.23063683304647159</v>
      </c>
      <c r="AN45" s="571">
        <v>152.23649253731341</v>
      </c>
      <c r="AO45" s="635"/>
      <c r="AP45" s="575"/>
      <c r="AQ45" s="636"/>
      <c r="AR45" s="637"/>
      <c r="AS45" s="633">
        <v>2.08</v>
      </c>
      <c r="AT45" s="579"/>
      <c r="AU45" s="580"/>
    </row>
    <row r="46" spans="1:47" ht="21" hidden="1" customHeight="1">
      <c r="A46" t="s">
        <v>512</v>
      </c>
      <c r="B46" t="s">
        <v>478</v>
      </c>
      <c r="C46" s="760"/>
      <c r="D46" s="584" t="s">
        <v>40</v>
      </c>
      <c r="E46" s="584" t="s">
        <v>57</v>
      </c>
      <c r="F46" s="584" t="s">
        <v>57</v>
      </c>
      <c r="G46" s="584" t="s">
        <v>60</v>
      </c>
      <c r="H46" s="565">
        <v>58022.3</v>
      </c>
      <c r="I46" s="581">
        <v>6339</v>
      </c>
      <c r="J46" s="582">
        <v>9.1532260608928855</v>
      </c>
      <c r="K46" s="566">
        <v>3981</v>
      </c>
      <c r="L46" s="567">
        <v>0.37198296261239944</v>
      </c>
      <c r="M46" s="564">
        <v>3796</v>
      </c>
      <c r="N46" s="568">
        <v>4.6470735995980908E-2</v>
      </c>
      <c r="O46" s="586">
        <v>15.285115911485775</v>
      </c>
      <c r="P46" s="564">
        <v>704</v>
      </c>
      <c r="Q46" s="569">
        <v>0.17683998995227329</v>
      </c>
      <c r="R46" s="571">
        <v>82.418039772727283</v>
      </c>
      <c r="S46" s="563">
        <v>58022.3</v>
      </c>
      <c r="T46" s="564">
        <v>6339</v>
      </c>
      <c r="U46" s="565">
        <v>9.1532260608928855</v>
      </c>
      <c r="V46" s="566">
        <v>3981</v>
      </c>
      <c r="W46" s="567">
        <v>0.37198296261239944</v>
      </c>
      <c r="X46" s="564">
        <v>3796</v>
      </c>
      <c r="Y46" s="568">
        <v>4.6470735995980908E-2</v>
      </c>
      <c r="Z46" s="586">
        <v>15.285115911485775</v>
      </c>
      <c r="AA46" s="591">
        <v>704</v>
      </c>
      <c r="AB46" s="569">
        <v>0.17683998995227329</v>
      </c>
      <c r="AC46" s="571">
        <v>82.418039772727283</v>
      </c>
      <c r="AD46" s="572" t="s">
        <v>123</v>
      </c>
      <c r="AE46" s="573" t="s">
        <v>123</v>
      </c>
      <c r="AF46" s="650" t="s">
        <v>123</v>
      </c>
      <c r="AG46" s="566" t="s">
        <v>123</v>
      </c>
      <c r="AH46" s="567" t="s">
        <v>123</v>
      </c>
      <c r="AI46" s="564" t="s">
        <v>123</v>
      </c>
      <c r="AJ46" s="568" t="s">
        <v>123</v>
      </c>
      <c r="AK46" s="586" t="s">
        <v>123</v>
      </c>
      <c r="AL46" s="574" t="s">
        <v>123</v>
      </c>
      <c r="AM46" s="569" t="s">
        <v>123</v>
      </c>
      <c r="AN46" s="571" t="s">
        <v>123</v>
      </c>
      <c r="AO46" s="635"/>
      <c r="AP46" s="587"/>
      <c r="AQ46" s="636"/>
      <c r="AR46" s="641"/>
      <c r="AS46" s="633">
        <v>2.08</v>
      </c>
      <c r="AT46" s="579"/>
      <c r="AU46" s="580"/>
    </row>
    <row r="47" spans="1:47" ht="49.95" customHeight="1">
      <c r="C47" s="758" t="s">
        <v>195</v>
      </c>
      <c r="D47" s="541"/>
      <c r="E47" s="541"/>
      <c r="F47" s="541"/>
      <c r="G47" s="541" t="s">
        <v>139</v>
      </c>
      <c r="H47" s="545">
        <v>100664.03</v>
      </c>
      <c r="I47" s="544">
        <v>10375</v>
      </c>
      <c r="J47" s="545">
        <v>9.7025571084337354</v>
      </c>
      <c r="K47" s="546">
        <v>5708</v>
      </c>
      <c r="L47" s="547">
        <v>0.44983132530120484</v>
      </c>
      <c r="M47" s="544">
        <v>5330</v>
      </c>
      <c r="N47" s="548">
        <v>6.6222845129642605E-2</v>
      </c>
      <c r="O47" s="549">
        <v>18.8863095684803</v>
      </c>
      <c r="P47" s="629">
        <v>929</v>
      </c>
      <c r="Q47" s="548">
        <v>0.1627540294323756</v>
      </c>
      <c r="R47" s="551">
        <v>108.35740581270183</v>
      </c>
      <c r="S47" s="543">
        <v>65946.649999999994</v>
      </c>
      <c r="T47" s="544">
        <v>8924</v>
      </c>
      <c r="U47" s="545">
        <v>7.3898083818915277</v>
      </c>
      <c r="V47" s="546">
        <v>4519</v>
      </c>
      <c r="W47" s="547">
        <v>0.49361272971761544</v>
      </c>
      <c r="X47" s="544">
        <v>4205</v>
      </c>
      <c r="Y47" s="548">
        <v>6.9484399203363578E-2</v>
      </c>
      <c r="Z47" s="549">
        <v>15.682913198573125</v>
      </c>
      <c r="AA47" s="629">
        <v>625</v>
      </c>
      <c r="AB47" s="548">
        <v>0.1383049347200708</v>
      </c>
      <c r="AC47" s="551">
        <v>105.51463999999999</v>
      </c>
      <c r="AD47" s="552">
        <v>34717.379999999997</v>
      </c>
      <c r="AE47" s="553">
        <v>1451</v>
      </c>
      <c r="AF47" s="549">
        <v>23.926519641626463</v>
      </c>
      <c r="AG47" s="546">
        <v>1189</v>
      </c>
      <c r="AH47" s="547">
        <v>0.18056512749827705</v>
      </c>
      <c r="AI47" s="553">
        <v>1125</v>
      </c>
      <c r="AJ47" s="548">
        <v>5.3826745164003362E-2</v>
      </c>
      <c r="AK47" s="549">
        <v>30.859893333333332</v>
      </c>
      <c r="AL47" s="554">
        <v>304</v>
      </c>
      <c r="AM47" s="548">
        <v>0.25567703952901599</v>
      </c>
      <c r="AN47" s="551">
        <v>114.20190789473683</v>
      </c>
      <c r="AO47" s="630">
        <v>0.8851</v>
      </c>
      <c r="AP47" s="555">
        <v>0.7</v>
      </c>
      <c r="AQ47" s="631">
        <v>0.73150000000000004</v>
      </c>
      <c r="AR47" s="632">
        <v>0.72589999999999999</v>
      </c>
      <c r="AS47" s="633">
        <v>2.36</v>
      </c>
      <c r="AT47" s="583"/>
      <c r="AU47" s="580"/>
    </row>
    <row r="48" spans="1:47" ht="21" hidden="1" customHeight="1">
      <c r="A48" t="s">
        <v>513</v>
      </c>
      <c r="B48" t="s">
        <v>466</v>
      </c>
      <c r="C48" s="759"/>
      <c r="D48" s="561" t="s">
        <v>40</v>
      </c>
      <c r="E48" s="561" t="s">
        <v>142</v>
      </c>
      <c r="F48" s="561" t="s">
        <v>44</v>
      </c>
      <c r="G48" s="561" t="s">
        <v>42</v>
      </c>
      <c r="H48" s="565">
        <v>3115.78</v>
      </c>
      <c r="I48" s="564">
        <v>170</v>
      </c>
      <c r="J48" s="565">
        <v>18.328117647058825</v>
      </c>
      <c r="K48" s="566">
        <v>144</v>
      </c>
      <c r="L48" s="567">
        <v>0.15294117647058825</v>
      </c>
      <c r="M48" s="564">
        <v>133</v>
      </c>
      <c r="N48" s="568">
        <v>7.6388888888888895E-2</v>
      </c>
      <c r="O48" s="565">
        <v>23.426917293233085</v>
      </c>
      <c r="P48" s="564">
        <v>54</v>
      </c>
      <c r="Q48" s="569">
        <v>0.375</v>
      </c>
      <c r="R48" s="571">
        <v>57.699629629629634</v>
      </c>
      <c r="S48" s="563" t="s">
        <v>123</v>
      </c>
      <c r="T48" s="564" t="s">
        <v>123</v>
      </c>
      <c r="U48" s="565" t="s">
        <v>123</v>
      </c>
      <c r="V48" s="566" t="s">
        <v>123</v>
      </c>
      <c r="W48" s="567" t="s">
        <v>123</v>
      </c>
      <c r="X48" s="564" t="s">
        <v>123</v>
      </c>
      <c r="Y48" s="568" t="s">
        <v>123</v>
      </c>
      <c r="Z48" s="565" t="s">
        <v>123</v>
      </c>
      <c r="AA48" s="591" t="s">
        <v>123</v>
      </c>
      <c r="AB48" s="569" t="s">
        <v>123</v>
      </c>
      <c r="AC48" s="571" t="s">
        <v>123</v>
      </c>
      <c r="AD48" s="572">
        <v>3115.78</v>
      </c>
      <c r="AE48" s="573">
        <v>170</v>
      </c>
      <c r="AF48" s="650">
        <v>18.328117647058825</v>
      </c>
      <c r="AG48" s="566">
        <v>144</v>
      </c>
      <c r="AH48" s="567">
        <v>0.15294117647058825</v>
      </c>
      <c r="AI48" s="564">
        <v>133</v>
      </c>
      <c r="AJ48" s="568">
        <v>7.6388888888888895E-2</v>
      </c>
      <c r="AK48" s="565">
        <v>23.426917293233085</v>
      </c>
      <c r="AL48" s="574">
        <v>54</v>
      </c>
      <c r="AM48" s="569">
        <v>0.375</v>
      </c>
      <c r="AN48" s="571">
        <v>57.699629629629634</v>
      </c>
      <c r="AO48" s="635"/>
      <c r="AP48" s="575"/>
      <c r="AQ48" s="636"/>
      <c r="AR48" s="637"/>
      <c r="AS48" s="633">
        <v>2.36</v>
      </c>
      <c r="AT48" s="579"/>
      <c r="AU48" s="580"/>
    </row>
    <row r="49" spans="1:47" ht="21" hidden="1" customHeight="1">
      <c r="A49" t="s">
        <v>514</v>
      </c>
      <c r="B49" t="s">
        <v>468</v>
      </c>
      <c r="C49" s="759"/>
      <c r="D49" s="561" t="s">
        <v>52</v>
      </c>
      <c r="E49" s="561" t="s">
        <v>145</v>
      </c>
      <c r="F49" s="561" t="s">
        <v>44</v>
      </c>
      <c r="G49" s="561" t="s">
        <v>42</v>
      </c>
      <c r="H49" s="565">
        <v>12143.77</v>
      </c>
      <c r="I49" s="564">
        <v>522</v>
      </c>
      <c r="J49" s="565">
        <v>23.263927203065133</v>
      </c>
      <c r="K49" s="566">
        <v>419</v>
      </c>
      <c r="L49" s="567">
        <v>0.19731800766283525</v>
      </c>
      <c r="M49" s="564">
        <v>379</v>
      </c>
      <c r="N49" s="568">
        <v>9.5465393794749401E-2</v>
      </c>
      <c r="O49" s="565">
        <v>32.041609498680742</v>
      </c>
      <c r="P49" s="564">
        <v>89</v>
      </c>
      <c r="Q49" s="569">
        <v>0.21241050119331742</v>
      </c>
      <c r="R49" s="571">
        <v>136.44685393258428</v>
      </c>
      <c r="S49" s="563" t="s">
        <v>123</v>
      </c>
      <c r="T49" s="564" t="s">
        <v>123</v>
      </c>
      <c r="U49" s="565" t="s">
        <v>123</v>
      </c>
      <c r="V49" s="566" t="s">
        <v>123</v>
      </c>
      <c r="W49" s="567" t="s">
        <v>123</v>
      </c>
      <c r="X49" s="564" t="s">
        <v>123</v>
      </c>
      <c r="Y49" s="568" t="s">
        <v>123</v>
      </c>
      <c r="Z49" s="565" t="s">
        <v>123</v>
      </c>
      <c r="AA49" s="591" t="s">
        <v>123</v>
      </c>
      <c r="AB49" s="569" t="s">
        <v>123</v>
      </c>
      <c r="AC49" s="571" t="s">
        <v>123</v>
      </c>
      <c r="AD49" s="572">
        <v>12143.77</v>
      </c>
      <c r="AE49" s="573">
        <v>522</v>
      </c>
      <c r="AF49" s="650">
        <v>23.263927203065133</v>
      </c>
      <c r="AG49" s="566">
        <v>419</v>
      </c>
      <c r="AH49" s="567">
        <v>0.19731800766283525</v>
      </c>
      <c r="AI49" s="564">
        <v>379</v>
      </c>
      <c r="AJ49" s="568">
        <v>9.5465393794749401E-2</v>
      </c>
      <c r="AK49" s="565">
        <v>32.041609498680742</v>
      </c>
      <c r="AL49" s="574">
        <v>89</v>
      </c>
      <c r="AM49" s="569">
        <v>0.21241050119331742</v>
      </c>
      <c r="AN49" s="571">
        <v>136.44685393258428</v>
      </c>
      <c r="AO49" s="635"/>
      <c r="AP49" s="575"/>
      <c r="AQ49" s="636"/>
      <c r="AR49" s="637"/>
      <c r="AS49" s="633">
        <v>2.36</v>
      </c>
      <c r="AT49" s="579"/>
      <c r="AU49" s="580"/>
    </row>
    <row r="50" spans="1:47" ht="21" hidden="1" customHeight="1">
      <c r="A50" t="s">
        <v>515</v>
      </c>
      <c r="B50" t="s">
        <v>470</v>
      </c>
      <c r="C50" s="759"/>
      <c r="D50" s="561" t="s">
        <v>40</v>
      </c>
      <c r="E50" s="561" t="s">
        <v>57</v>
      </c>
      <c r="F50" s="561" t="s">
        <v>57</v>
      </c>
      <c r="G50" s="561" t="s">
        <v>42</v>
      </c>
      <c r="H50" s="565">
        <v>14000</v>
      </c>
      <c r="I50" s="564">
        <v>1820</v>
      </c>
      <c r="J50" s="565">
        <v>7.6923076923076925</v>
      </c>
      <c r="K50" s="566">
        <v>659</v>
      </c>
      <c r="L50" s="567">
        <v>0.63791208791208787</v>
      </c>
      <c r="M50" s="564">
        <v>561</v>
      </c>
      <c r="N50" s="568">
        <v>0.14871016691957512</v>
      </c>
      <c r="O50" s="565">
        <v>24.955436720142604</v>
      </c>
      <c r="P50" s="564">
        <v>31</v>
      </c>
      <c r="Q50" s="569">
        <v>4.7040971168437029E-2</v>
      </c>
      <c r="R50" s="571">
        <v>451.61290322580646</v>
      </c>
      <c r="S50" s="563">
        <v>14000</v>
      </c>
      <c r="T50" s="564">
        <v>1820</v>
      </c>
      <c r="U50" s="565">
        <v>7.6923076923076925</v>
      </c>
      <c r="V50" s="566">
        <v>659</v>
      </c>
      <c r="W50" s="567">
        <v>0.63791208791208787</v>
      </c>
      <c r="X50" s="564">
        <v>561</v>
      </c>
      <c r="Y50" s="568">
        <v>0.14871016691957512</v>
      </c>
      <c r="Z50" s="565">
        <v>24.955436720142604</v>
      </c>
      <c r="AA50" s="591">
        <v>31</v>
      </c>
      <c r="AB50" s="569">
        <v>4.7040971168437029E-2</v>
      </c>
      <c r="AC50" s="571">
        <v>451.61290322580646</v>
      </c>
      <c r="AD50" s="572" t="s">
        <v>123</v>
      </c>
      <c r="AE50" s="573" t="s">
        <v>123</v>
      </c>
      <c r="AF50" s="650" t="s">
        <v>123</v>
      </c>
      <c r="AG50" s="566" t="s">
        <v>123</v>
      </c>
      <c r="AH50" s="567" t="s">
        <v>123</v>
      </c>
      <c r="AI50" s="564" t="s">
        <v>123</v>
      </c>
      <c r="AJ50" s="568" t="s">
        <v>123</v>
      </c>
      <c r="AK50" s="565" t="s">
        <v>123</v>
      </c>
      <c r="AL50" s="574" t="s">
        <v>123</v>
      </c>
      <c r="AM50" s="569" t="s">
        <v>123</v>
      </c>
      <c r="AN50" s="571" t="s">
        <v>123</v>
      </c>
      <c r="AO50" s="635"/>
      <c r="AP50" s="575"/>
      <c r="AQ50" s="636"/>
      <c r="AR50" s="637"/>
      <c r="AS50" s="633">
        <v>2.36</v>
      </c>
      <c r="AT50" s="579"/>
      <c r="AU50" s="580"/>
    </row>
    <row r="51" spans="1:47" ht="21" hidden="1" customHeight="1">
      <c r="A51" t="s">
        <v>516</v>
      </c>
      <c r="B51" t="s">
        <v>472</v>
      </c>
      <c r="C51" s="759"/>
      <c r="D51" s="561" t="s">
        <v>52</v>
      </c>
      <c r="E51" s="561" t="s">
        <v>121</v>
      </c>
      <c r="F51" s="561" t="s">
        <v>44</v>
      </c>
      <c r="G51" s="561" t="s">
        <v>42</v>
      </c>
      <c r="H51" s="565">
        <v>0</v>
      </c>
      <c r="I51" s="564">
        <v>0</v>
      </c>
      <c r="J51" s="565" t="s">
        <v>123</v>
      </c>
      <c r="K51" s="566">
        <v>0</v>
      </c>
      <c r="L51" s="567" t="s">
        <v>123</v>
      </c>
      <c r="M51" s="564">
        <v>0</v>
      </c>
      <c r="N51" s="568" t="s">
        <v>123</v>
      </c>
      <c r="O51" s="565" t="s">
        <v>123</v>
      </c>
      <c r="P51" s="564">
        <v>0</v>
      </c>
      <c r="Q51" s="569" t="s">
        <v>123</v>
      </c>
      <c r="R51" s="571" t="s">
        <v>123</v>
      </c>
      <c r="S51" s="563" t="s">
        <v>123</v>
      </c>
      <c r="T51" s="564" t="s">
        <v>123</v>
      </c>
      <c r="U51" s="565" t="s">
        <v>123</v>
      </c>
      <c r="V51" s="566" t="s">
        <v>123</v>
      </c>
      <c r="W51" s="567" t="s">
        <v>123</v>
      </c>
      <c r="X51" s="564" t="s">
        <v>123</v>
      </c>
      <c r="Y51" s="568" t="s">
        <v>123</v>
      </c>
      <c r="Z51" s="565" t="s">
        <v>123</v>
      </c>
      <c r="AA51" s="591" t="s">
        <v>123</v>
      </c>
      <c r="AB51" s="569" t="s">
        <v>123</v>
      </c>
      <c r="AC51" s="571" t="s">
        <v>123</v>
      </c>
      <c r="AD51" s="572">
        <v>0</v>
      </c>
      <c r="AE51" s="573">
        <v>0</v>
      </c>
      <c r="AF51" s="650" t="s">
        <v>123</v>
      </c>
      <c r="AG51" s="566">
        <v>0</v>
      </c>
      <c r="AH51" s="567" t="s">
        <v>123</v>
      </c>
      <c r="AI51" s="564">
        <v>0</v>
      </c>
      <c r="AJ51" s="568" t="s">
        <v>123</v>
      </c>
      <c r="AK51" s="565" t="s">
        <v>123</v>
      </c>
      <c r="AL51" s="574">
        <v>0</v>
      </c>
      <c r="AM51" s="569" t="s">
        <v>123</v>
      </c>
      <c r="AN51" s="571" t="s">
        <v>123</v>
      </c>
      <c r="AO51" s="635"/>
      <c r="AP51" s="575"/>
      <c r="AQ51" s="636"/>
      <c r="AR51" s="637"/>
      <c r="AS51" s="633">
        <v>2.36</v>
      </c>
      <c r="AT51" s="579"/>
      <c r="AU51" s="580"/>
    </row>
    <row r="52" spans="1:47" ht="21" hidden="1" customHeight="1">
      <c r="A52" t="s">
        <v>517</v>
      </c>
      <c r="B52" t="s">
        <v>474</v>
      </c>
      <c r="C52" s="759"/>
      <c r="D52" s="561" t="s">
        <v>40</v>
      </c>
      <c r="E52" s="561" t="s">
        <v>142</v>
      </c>
      <c r="F52" s="561" t="s">
        <v>44</v>
      </c>
      <c r="G52" s="561" t="s">
        <v>60</v>
      </c>
      <c r="H52" s="565">
        <v>4308.41</v>
      </c>
      <c r="I52" s="564">
        <v>189</v>
      </c>
      <c r="J52" s="565">
        <v>22.795820105820106</v>
      </c>
      <c r="K52" s="566">
        <v>154</v>
      </c>
      <c r="L52" s="567">
        <v>0.18518518518518517</v>
      </c>
      <c r="M52" s="564">
        <v>149</v>
      </c>
      <c r="N52" s="568">
        <v>3.2467532467532464E-2</v>
      </c>
      <c r="O52" s="565">
        <v>28.915503355704697</v>
      </c>
      <c r="P52" s="564">
        <v>45</v>
      </c>
      <c r="Q52" s="569">
        <v>0.29220779220779219</v>
      </c>
      <c r="R52" s="571">
        <v>95.742444444444445</v>
      </c>
      <c r="S52" s="563" t="s">
        <v>123</v>
      </c>
      <c r="T52" s="564" t="s">
        <v>123</v>
      </c>
      <c r="U52" s="565" t="s">
        <v>123</v>
      </c>
      <c r="V52" s="566" t="s">
        <v>123</v>
      </c>
      <c r="W52" s="567" t="s">
        <v>123</v>
      </c>
      <c r="X52" s="564" t="s">
        <v>123</v>
      </c>
      <c r="Y52" s="568" t="s">
        <v>123</v>
      </c>
      <c r="Z52" s="565" t="s">
        <v>123</v>
      </c>
      <c r="AA52" s="591" t="s">
        <v>123</v>
      </c>
      <c r="AB52" s="569" t="s">
        <v>123</v>
      </c>
      <c r="AC52" s="571" t="s">
        <v>123</v>
      </c>
      <c r="AD52" s="572">
        <v>4308.41</v>
      </c>
      <c r="AE52" s="573">
        <v>189</v>
      </c>
      <c r="AF52" s="650">
        <v>22.795820105820106</v>
      </c>
      <c r="AG52" s="566">
        <v>154</v>
      </c>
      <c r="AH52" s="567">
        <v>0.18518518518518517</v>
      </c>
      <c r="AI52" s="564">
        <v>149</v>
      </c>
      <c r="AJ52" s="568">
        <v>3.2467532467532464E-2</v>
      </c>
      <c r="AK52" s="565">
        <v>28.915503355704697</v>
      </c>
      <c r="AL52" s="574">
        <v>45</v>
      </c>
      <c r="AM52" s="569">
        <v>0.29220779220779219</v>
      </c>
      <c r="AN52" s="571">
        <v>95.742444444444445</v>
      </c>
      <c r="AO52" s="635"/>
      <c r="AP52" s="575"/>
      <c r="AQ52" s="636"/>
      <c r="AR52" s="637"/>
      <c r="AS52" s="633">
        <v>2.36</v>
      </c>
      <c r="AT52" s="579"/>
      <c r="AU52" s="580"/>
    </row>
    <row r="53" spans="1:47" ht="21" hidden="1" customHeight="1">
      <c r="A53" t="s">
        <v>518</v>
      </c>
      <c r="B53" t="s">
        <v>476</v>
      </c>
      <c r="C53" s="759"/>
      <c r="D53" s="561" t="s">
        <v>52</v>
      </c>
      <c r="E53" s="561" t="s">
        <v>145</v>
      </c>
      <c r="F53" s="561" t="s">
        <v>44</v>
      </c>
      <c r="G53" s="561" t="s">
        <v>60</v>
      </c>
      <c r="H53" s="565">
        <v>15149.42</v>
      </c>
      <c r="I53" s="564">
        <v>570</v>
      </c>
      <c r="J53" s="565">
        <v>26.577929824561405</v>
      </c>
      <c r="K53" s="566">
        <v>472</v>
      </c>
      <c r="L53" s="567">
        <v>0.17192982456140352</v>
      </c>
      <c r="M53" s="564">
        <v>464</v>
      </c>
      <c r="N53" s="568">
        <v>1.6949152542372881E-2</v>
      </c>
      <c r="O53" s="565">
        <v>32.649612068965517</v>
      </c>
      <c r="P53" s="564">
        <v>116</v>
      </c>
      <c r="Q53" s="569">
        <v>0.24576271186440679</v>
      </c>
      <c r="R53" s="571">
        <v>130.59844827586207</v>
      </c>
      <c r="S53" s="563" t="s">
        <v>123</v>
      </c>
      <c r="T53" s="564" t="s">
        <v>123</v>
      </c>
      <c r="U53" s="565" t="s">
        <v>123</v>
      </c>
      <c r="V53" s="566" t="s">
        <v>123</v>
      </c>
      <c r="W53" s="567" t="s">
        <v>123</v>
      </c>
      <c r="X53" s="564" t="s">
        <v>123</v>
      </c>
      <c r="Y53" s="568" t="s">
        <v>123</v>
      </c>
      <c r="Z53" s="565" t="s">
        <v>123</v>
      </c>
      <c r="AA53" s="591" t="s">
        <v>123</v>
      </c>
      <c r="AB53" s="569" t="s">
        <v>123</v>
      </c>
      <c r="AC53" s="571" t="s">
        <v>123</v>
      </c>
      <c r="AD53" s="572">
        <v>15149.42</v>
      </c>
      <c r="AE53" s="573">
        <v>570</v>
      </c>
      <c r="AF53" s="650">
        <v>26.577929824561405</v>
      </c>
      <c r="AG53" s="566">
        <v>472</v>
      </c>
      <c r="AH53" s="567">
        <v>0.17192982456140352</v>
      </c>
      <c r="AI53" s="564">
        <v>464</v>
      </c>
      <c r="AJ53" s="568">
        <v>1.6949152542372881E-2</v>
      </c>
      <c r="AK53" s="565">
        <v>32.649612068965517</v>
      </c>
      <c r="AL53" s="574">
        <v>116</v>
      </c>
      <c r="AM53" s="569">
        <v>0.24576271186440679</v>
      </c>
      <c r="AN53" s="571">
        <v>130.59844827586207</v>
      </c>
      <c r="AO53" s="635"/>
      <c r="AP53" s="575"/>
      <c r="AQ53" s="636"/>
      <c r="AR53" s="637"/>
      <c r="AS53" s="633">
        <v>2.36</v>
      </c>
      <c r="AT53" s="579"/>
      <c r="AU53" s="580"/>
    </row>
    <row r="54" spans="1:47" ht="21" hidden="1" customHeight="1">
      <c r="A54" t="s">
        <v>519</v>
      </c>
      <c r="B54" t="s">
        <v>478</v>
      </c>
      <c r="C54" s="760"/>
      <c r="D54" s="584" t="s">
        <v>40</v>
      </c>
      <c r="E54" s="584" t="s">
        <v>57</v>
      </c>
      <c r="F54" s="584" t="s">
        <v>57</v>
      </c>
      <c r="G54" s="584" t="s">
        <v>60</v>
      </c>
      <c r="H54" s="565">
        <v>51946.65</v>
      </c>
      <c r="I54" s="581">
        <v>7104</v>
      </c>
      <c r="J54" s="582">
        <v>7.3123099662162163</v>
      </c>
      <c r="K54" s="566">
        <v>3860</v>
      </c>
      <c r="L54" s="567">
        <v>0.45664414414414417</v>
      </c>
      <c r="M54" s="564">
        <v>3644</v>
      </c>
      <c r="N54" s="568">
        <v>5.5958549222797929E-2</v>
      </c>
      <c r="O54" s="586">
        <v>14.255392425905599</v>
      </c>
      <c r="P54" s="564">
        <v>594</v>
      </c>
      <c r="Q54" s="569">
        <v>0.15388601036269431</v>
      </c>
      <c r="R54" s="571">
        <v>87.452272727272728</v>
      </c>
      <c r="S54" s="563">
        <v>51946.65</v>
      </c>
      <c r="T54" s="564">
        <v>7104</v>
      </c>
      <c r="U54" s="565">
        <v>7.3123099662162163</v>
      </c>
      <c r="V54" s="566">
        <v>3860</v>
      </c>
      <c r="W54" s="567">
        <v>0.45664414414414417</v>
      </c>
      <c r="X54" s="564">
        <v>3644</v>
      </c>
      <c r="Y54" s="568">
        <v>5.5958549222797929E-2</v>
      </c>
      <c r="Z54" s="586">
        <v>14.255392425905599</v>
      </c>
      <c r="AA54" s="591">
        <v>594</v>
      </c>
      <c r="AB54" s="569">
        <v>0.15388601036269431</v>
      </c>
      <c r="AC54" s="571">
        <v>87.452272727272728</v>
      </c>
      <c r="AD54" s="572" t="s">
        <v>123</v>
      </c>
      <c r="AE54" s="573" t="s">
        <v>123</v>
      </c>
      <c r="AF54" s="650" t="s">
        <v>123</v>
      </c>
      <c r="AG54" s="566" t="s">
        <v>123</v>
      </c>
      <c r="AH54" s="567" t="s">
        <v>123</v>
      </c>
      <c r="AI54" s="564" t="s">
        <v>123</v>
      </c>
      <c r="AJ54" s="568" t="s">
        <v>123</v>
      </c>
      <c r="AK54" s="586" t="s">
        <v>123</v>
      </c>
      <c r="AL54" s="574" t="s">
        <v>123</v>
      </c>
      <c r="AM54" s="569" t="s">
        <v>123</v>
      </c>
      <c r="AN54" s="571" t="s">
        <v>123</v>
      </c>
      <c r="AO54" s="635"/>
      <c r="AP54" s="587"/>
      <c r="AQ54" s="636"/>
      <c r="AR54" s="641"/>
      <c r="AS54" s="633">
        <v>2.36</v>
      </c>
      <c r="AT54" s="579"/>
      <c r="AU54" s="580"/>
    </row>
    <row r="55" spans="1:47" ht="49.95" customHeight="1">
      <c r="C55" s="758" t="s">
        <v>203</v>
      </c>
      <c r="D55" s="541"/>
      <c r="E55" s="541"/>
      <c r="F55" s="541"/>
      <c r="G55" s="541" t="s">
        <v>139</v>
      </c>
      <c r="H55" s="545">
        <v>95902.91</v>
      </c>
      <c r="I55" s="544">
        <v>9698</v>
      </c>
      <c r="J55" s="545">
        <v>9.8889368942049902</v>
      </c>
      <c r="K55" s="546">
        <v>5292</v>
      </c>
      <c r="L55" s="547">
        <v>0.45432047844916479</v>
      </c>
      <c r="M55" s="544">
        <v>3490</v>
      </c>
      <c r="N55" s="548">
        <v>0.34051398337112621</v>
      </c>
      <c r="O55" s="549">
        <v>27.479343839541549</v>
      </c>
      <c r="P55" s="629">
        <v>874</v>
      </c>
      <c r="Q55" s="548">
        <v>0.16515495086923659</v>
      </c>
      <c r="R55" s="551">
        <v>109.72872997711671</v>
      </c>
      <c r="S55" s="543">
        <v>64255.98</v>
      </c>
      <c r="T55" s="544">
        <v>8266</v>
      </c>
      <c r="U55" s="545">
        <v>7.7735277038470851</v>
      </c>
      <c r="V55" s="546">
        <v>4112</v>
      </c>
      <c r="W55" s="547">
        <v>0.50254052746189204</v>
      </c>
      <c r="X55" s="544">
        <v>2646</v>
      </c>
      <c r="Y55" s="548">
        <v>0.35651750972762647</v>
      </c>
      <c r="Z55" s="549">
        <v>24.284195011337868</v>
      </c>
      <c r="AA55" s="629">
        <v>601</v>
      </c>
      <c r="AB55" s="548">
        <v>0.14615758754863814</v>
      </c>
      <c r="AC55" s="551">
        <v>106.91510815307821</v>
      </c>
      <c r="AD55" s="552">
        <v>31646.93</v>
      </c>
      <c r="AE55" s="553">
        <v>1432</v>
      </c>
      <c r="AF55" s="549">
        <v>22.099811452513968</v>
      </c>
      <c r="AG55" s="546">
        <v>1180</v>
      </c>
      <c r="AH55" s="547">
        <v>0.17597765363128492</v>
      </c>
      <c r="AI55" s="553">
        <v>844</v>
      </c>
      <c r="AJ55" s="548">
        <v>0.28474576271186441</v>
      </c>
      <c r="AK55" s="549">
        <v>37.496362559241703</v>
      </c>
      <c r="AL55" s="554">
        <v>273</v>
      </c>
      <c r="AM55" s="548">
        <v>0.23135593220338982</v>
      </c>
      <c r="AN55" s="551">
        <v>115.92282051282051</v>
      </c>
      <c r="AO55" s="662">
        <v>0.88600000000000001</v>
      </c>
      <c r="AP55" s="555">
        <v>0.65480000000000005</v>
      </c>
      <c r="AQ55" s="631">
        <v>0.73299999999999998</v>
      </c>
      <c r="AR55" s="632">
        <v>0.72650000000000003</v>
      </c>
      <c r="AS55" s="633">
        <v>2.31</v>
      </c>
      <c r="AT55" s="583"/>
      <c r="AU55" s="580"/>
    </row>
    <row r="56" spans="1:47" ht="21" hidden="1" customHeight="1">
      <c r="A56" t="s">
        <v>520</v>
      </c>
      <c r="B56" t="s">
        <v>466</v>
      </c>
      <c r="C56" s="759"/>
      <c r="D56" s="561" t="s">
        <v>40</v>
      </c>
      <c r="E56" s="561" t="s">
        <v>142</v>
      </c>
      <c r="F56" s="561" t="s">
        <v>44</v>
      </c>
      <c r="G56" s="561" t="s">
        <v>42</v>
      </c>
      <c r="H56" s="565">
        <v>4515.63</v>
      </c>
      <c r="I56" s="564">
        <v>239</v>
      </c>
      <c r="J56" s="565">
        <v>18.893849372384938</v>
      </c>
      <c r="K56" s="566">
        <v>201</v>
      </c>
      <c r="L56" s="567">
        <v>0.15899581589958159</v>
      </c>
      <c r="M56" s="564">
        <v>150</v>
      </c>
      <c r="N56" s="568">
        <v>0.2537313432835821</v>
      </c>
      <c r="O56" s="565">
        <v>30.104200000000002</v>
      </c>
      <c r="P56" s="564">
        <v>51</v>
      </c>
      <c r="Q56" s="569">
        <v>0.2537313432835821</v>
      </c>
      <c r="R56" s="571">
        <v>88.541764705882358</v>
      </c>
      <c r="S56" s="563" t="s">
        <v>123</v>
      </c>
      <c r="T56" s="564" t="s">
        <v>123</v>
      </c>
      <c r="U56" s="565" t="s">
        <v>123</v>
      </c>
      <c r="V56" s="566" t="s">
        <v>123</v>
      </c>
      <c r="W56" s="567" t="s">
        <v>123</v>
      </c>
      <c r="X56" s="564" t="s">
        <v>123</v>
      </c>
      <c r="Y56" s="568" t="s">
        <v>123</v>
      </c>
      <c r="Z56" s="565" t="s">
        <v>123</v>
      </c>
      <c r="AA56" s="591" t="s">
        <v>123</v>
      </c>
      <c r="AB56" s="569" t="s">
        <v>123</v>
      </c>
      <c r="AC56" s="571" t="s">
        <v>123</v>
      </c>
      <c r="AD56" s="572">
        <v>4515.63</v>
      </c>
      <c r="AE56" s="573">
        <v>239</v>
      </c>
      <c r="AF56" s="650">
        <v>18.893849372384938</v>
      </c>
      <c r="AG56" s="566">
        <v>201</v>
      </c>
      <c r="AH56" s="567">
        <v>0.15899581589958159</v>
      </c>
      <c r="AI56" s="564">
        <v>150</v>
      </c>
      <c r="AJ56" s="568">
        <v>0.2537313432835821</v>
      </c>
      <c r="AK56" s="565">
        <v>30.104200000000002</v>
      </c>
      <c r="AL56" s="574">
        <v>51</v>
      </c>
      <c r="AM56" s="569">
        <v>0.2537313432835821</v>
      </c>
      <c r="AN56" s="571">
        <v>88.541764705882358</v>
      </c>
      <c r="AO56" s="663"/>
      <c r="AP56" s="575"/>
      <c r="AQ56" s="636"/>
      <c r="AR56" s="637"/>
      <c r="AS56" s="633">
        <v>2.31</v>
      </c>
      <c r="AT56" s="579"/>
      <c r="AU56" s="580"/>
    </row>
    <row r="57" spans="1:47" ht="21" hidden="1" customHeight="1">
      <c r="A57" t="s">
        <v>521</v>
      </c>
      <c r="B57" t="s">
        <v>468</v>
      </c>
      <c r="C57" s="759"/>
      <c r="D57" s="561" t="s">
        <v>52</v>
      </c>
      <c r="E57" s="561" t="s">
        <v>145</v>
      </c>
      <c r="F57" s="561" t="s">
        <v>44</v>
      </c>
      <c r="G57" s="561" t="s">
        <v>42</v>
      </c>
      <c r="H57" s="565">
        <v>10431.209999999999</v>
      </c>
      <c r="I57" s="564">
        <v>457</v>
      </c>
      <c r="J57" s="565">
        <v>22.825404814004376</v>
      </c>
      <c r="K57" s="566">
        <v>360</v>
      </c>
      <c r="L57" s="567">
        <v>0.21225382932166301</v>
      </c>
      <c r="M57" s="564">
        <v>247</v>
      </c>
      <c r="N57" s="568">
        <v>0.31388888888888888</v>
      </c>
      <c r="O57" s="565">
        <v>42.231619433198375</v>
      </c>
      <c r="P57" s="564">
        <v>66</v>
      </c>
      <c r="Q57" s="569">
        <v>0.18333333333333332</v>
      </c>
      <c r="R57" s="571">
        <v>158.04863636363635</v>
      </c>
      <c r="S57" s="563" t="s">
        <v>123</v>
      </c>
      <c r="T57" s="564" t="s">
        <v>123</v>
      </c>
      <c r="U57" s="565" t="s">
        <v>123</v>
      </c>
      <c r="V57" s="566" t="s">
        <v>123</v>
      </c>
      <c r="W57" s="567" t="s">
        <v>123</v>
      </c>
      <c r="X57" s="564" t="s">
        <v>123</v>
      </c>
      <c r="Y57" s="568" t="s">
        <v>123</v>
      </c>
      <c r="Z57" s="565" t="s">
        <v>123</v>
      </c>
      <c r="AA57" s="591" t="s">
        <v>123</v>
      </c>
      <c r="AB57" s="569" t="s">
        <v>123</v>
      </c>
      <c r="AC57" s="571" t="s">
        <v>123</v>
      </c>
      <c r="AD57" s="572">
        <v>10431.209999999999</v>
      </c>
      <c r="AE57" s="573">
        <v>457</v>
      </c>
      <c r="AF57" s="650">
        <v>22.825404814004376</v>
      </c>
      <c r="AG57" s="566">
        <v>360</v>
      </c>
      <c r="AH57" s="567">
        <v>0.21225382932166301</v>
      </c>
      <c r="AI57" s="564">
        <v>247</v>
      </c>
      <c r="AJ57" s="568">
        <v>0.31388888888888888</v>
      </c>
      <c r="AK57" s="565">
        <v>42.231619433198375</v>
      </c>
      <c r="AL57" s="574">
        <v>66</v>
      </c>
      <c r="AM57" s="569">
        <v>0.18333333333333332</v>
      </c>
      <c r="AN57" s="571">
        <v>158.04863636363635</v>
      </c>
      <c r="AO57" s="663"/>
      <c r="AP57" s="575"/>
      <c r="AQ57" s="636"/>
      <c r="AR57" s="637"/>
      <c r="AS57" s="633">
        <v>2.31</v>
      </c>
      <c r="AT57" s="579"/>
      <c r="AU57" s="580"/>
    </row>
    <row r="58" spans="1:47" ht="21" hidden="1" customHeight="1">
      <c r="A58" t="s">
        <v>522</v>
      </c>
      <c r="B58" t="s">
        <v>470</v>
      </c>
      <c r="C58" s="759"/>
      <c r="D58" s="561" t="s">
        <v>40</v>
      </c>
      <c r="E58" s="561" t="s">
        <v>57</v>
      </c>
      <c r="F58" s="561" t="s">
        <v>57</v>
      </c>
      <c r="G58" s="561" t="s">
        <v>42</v>
      </c>
      <c r="H58" s="565">
        <v>14000</v>
      </c>
      <c r="I58" s="564">
        <v>1823</v>
      </c>
      <c r="J58" s="565">
        <v>7.6796489303346132</v>
      </c>
      <c r="K58" s="566">
        <v>658</v>
      </c>
      <c r="L58" s="567">
        <v>0.63905650027427319</v>
      </c>
      <c r="M58" s="564">
        <v>400</v>
      </c>
      <c r="N58" s="568">
        <v>0.39209726443769</v>
      </c>
      <c r="O58" s="565">
        <v>35</v>
      </c>
      <c r="P58" s="564">
        <v>43</v>
      </c>
      <c r="Q58" s="569">
        <v>6.5349544072948323E-2</v>
      </c>
      <c r="R58" s="571">
        <v>325.58139534883719</v>
      </c>
      <c r="S58" s="563">
        <v>14000</v>
      </c>
      <c r="T58" s="564">
        <v>1823</v>
      </c>
      <c r="U58" s="565">
        <v>7.6796489303346132</v>
      </c>
      <c r="V58" s="566">
        <v>658</v>
      </c>
      <c r="W58" s="567">
        <v>0.63905650027427319</v>
      </c>
      <c r="X58" s="564">
        <v>400</v>
      </c>
      <c r="Y58" s="568">
        <v>0.39209726443769</v>
      </c>
      <c r="Z58" s="565">
        <v>35</v>
      </c>
      <c r="AA58" s="591">
        <v>43</v>
      </c>
      <c r="AB58" s="569">
        <v>6.5349544072948323E-2</v>
      </c>
      <c r="AC58" s="571">
        <v>325.58139534883719</v>
      </c>
      <c r="AD58" s="572" t="s">
        <v>123</v>
      </c>
      <c r="AE58" s="573" t="s">
        <v>123</v>
      </c>
      <c r="AF58" s="650" t="s">
        <v>123</v>
      </c>
      <c r="AG58" s="566" t="s">
        <v>123</v>
      </c>
      <c r="AH58" s="567" t="s">
        <v>123</v>
      </c>
      <c r="AI58" s="564" t="s">
        <v>123</v>
      </c>
      <c r="AJ58" s="568" t="s">
        <v>123</v>
      </c>
      <c r="AK58" s="565" t="s">
        <v>123</v>
      </c>
      <c r="AL58" s="574" t="s">
        <v>123</v>
      </c>
      <c r="AM58" s="569" t="s">
        <v>123</v>
      </c>
      <c r="AN58" s="571" t="s">
        <v>123</v>
      </c>
      <c r="AO58" s="663"/>
      <c r="AP58" s="575"/>
      <c r="AQ58" s="636"/>
      <c r="AR58" s="637"/>
      <c r="AS58" s="633">
        <v>2.31</v>
      </c>
      <c r="AT58" s="579"/>
      <c r="AU58" s="580"/>
    </row>
    <row r="59" spans="1:47" ht="21" hidden="1" customHeight="1">
      <c r="A59" t="s">
        <v>523</v>
      </c>
      <c r="B59" t="s">
        <v>472</v>
      </c>
      <c r="C59" s="759"/>
      <c r="D59" s="561" t="s">
        <v>52</v>
      </c>
      <c r="E59" s="561" t="s">
        <v>121</v>
      </c>
      <c r="F59" s="561" t="s">
        <v>44</v>
      </c>
      <c r="G59" s="561" t="s">
        <v>42</v>
      </c>
      <c r="H59" s="565">
        <v>0</v>
      </c>
      <c r="I59" s="564">
        <v>0</v>
      </c>
      <c r="J59" s="565" t="s">
        <v>123</v>
      </c>
      <c r="K59" s="566">
        <v>0</v>
      </c>
      <c r="L59" s="567" t="s">
        <v>123</v>
      </c>
      <c r="M59" s="564">
        <v>0</v>
      </c>
      <c r="N59" s="568" t="s">
        <v>123</v>
      </c>
      <c r="O59" s="565" t="s">
        <v>123</v>
      </c>
      <c r="P59" s="564">
        <v>0</v>
      </c>
      <c r="Q59" s="569" t="s">
        <v>123</v>
      </c>
      <c r="R59" s="571" t="s">
        <v>123</v>
      </c>
      <c r="S59" s="563" t="s">
        <v>123</v>
      </c>
      <c r="T59" s="564" t="s">
        <v>123</v>
      </c>
      <c r="U59" s="565" t="s">
        <v>123</v>
      </c>
      <c r="V59" s="566" t="s">
        <v>123</v>
      </c>
      <c r="W59" s="567" t="s">
        <v>123</v>
      </c>
      <c r="X59" s="564" t="s">
        <v>123</v>
      </c>
      <c r="Y59" s="568" t="s">
        <v>123</v>
      </c>
      <c r="Z59" s="565" t="s">
        <v>123</v>
      </c>
      <c r="AA59" s="591" t="s">
        <v>123</v>
      </c>
      <c r="AB59" s="569" t="s">
        <v>123</v>
      </c>
      <c r="AC59" s="571" t="s">
        <v>123</v>
      </c>
      <c r="AD59" s="572">
        <v>0</v>
      </c>
      <c r="AE59" s="573">
        <v>0</v>
      </c>
      <c r="AF59" s="650" t="s">
        <v>123</v>
      </c>
      <c r="AG59" s="566">
        <v>0</v>
      </c>
      <c r="AH59" s="567" t="s">
        <v>123</v>
      </c>
      <c r="AI59" s="564">
        <v>0</v>
      </c>
      <c r="AJ59" s="568" t="s">
        <v>123</v>
      </c>
      <c r="AK59" s="565" t="s">
        <v>123</v>
      </c>
      <c r="AL59" s="574">
        <v>0</v>
      </c>
      <c r="AM59" s="569" t="s">
        <v>123</v>
      </c>
      <c r="AN59" s="571" t="s">
        <v>123</v>
      </c>
      <c r="AO59" s="663"/>
      <c r="AP59" s="575"/>
      <c r="AQ59" s="636"/>
      <c r="AR59" s="637"/>
      <c r="AS59" s="633">
        <v>2.31</v>
      </c>
      <c r="AT59" s="579"/>
      <c r="AU59" s="580"/>
    </row>
    <row r="60" spans="1:47" ht="21" hidden="1" customHeight="1">
      <c r="A60" t="s">
        <v>524</v>
      </c>
      <c r="B60" t="s">
        <v>474</v>
      </c>
      <c r="C60" s="759"/>
      <c r="D60" s="561" t="s">
        <v>40</v>
      </c>
      <c r="E60" s="561" t="s">
        <v>142</v>
      </c>
      <c r="F60" s="561" t="s">
        <v>44</v>
      </c>
      <c r="G60" s="561" t="s">
        <v>60</v>
      </c>
      <c r="H60" s="565">
        <v>5892.79</v>
      </c>
      <c r="I60" s="564">
        <v>240</v>
      </c>
      <c r="J60" s="565">
        <v>24.553291666666667</v>
      </c>
      <c r="K60" s="566">
        <v>197</v>
      </c>
      <c r="L60" s="567">
        <v>0.17916666666666667</v>
      </c>
      <c r="M60" s="564">
        <v>139</v>
      </c>
      <c r="N60" s="568">
        <v>0.29441624365482233</v>
      </c>
      <c r="O60" s="565">
        <v>42.394172661870506</v>
      </c>
      <c r="P60" s="564">
        <v>54</v>
      </c>
      <c r="Q60" s="569">
        <v>0.27411167512690354</v>
      </c>
      <c r="R60" s="571">
        <v>109.12574074074074</v>
      </c>
      <c r="S60" s="563" t="s">
        <v>123</v>
      </c>
      <c r="T60" s="564" t="s">
        <v>123</v>
      </c>
      <c r="U60" s="565" t="s">
        <v>123</v>
      </c>
      <c r="V60" s="566" t="s">
        <v>123</v>
      </c>
      <c r="W60" s="567" t="s">
        <v>123</v>
      </c>
      <c r="X60" s="564" t="s">
        <v>123</v>
      </c>
      <c r="Y60" s="568" t="s">
        <v>123</v>
      </c>
      <c r="Z60" s="565" t="s">
        <v>123</v>
      </c>
      <c r="AA60" s="591" t="s">
        <v>123</v>
      </c>
      <c r="AB60" s="569" t="s">
        <v>123</v>
      </c>
      <c r="AC60" s="571" t="s">
        <v>123</v>
      </c>
      <c r="AD60" s="572">
        <v>5892.79</v>
      </c>
      <c r="AE60" s="573">
        <v>240</v>
      </c>
      <c r="AF60" s="650">
        <v>24.553291666666667</v>
      </c>
      <c r="AG60" s="566">
        <v>197</v>
      </c>
      <c r="AH60" s="567">
        <v>0.17916666666666667</v>
      </c>
      <c r="AI60" s="564">
        <v>139</v>
      </c>
      <c r="AJ60" s="568">
        <v>0.29441624365482233</v>
      </c>
      <c r="AK60" s="565">
        <v>42.394172661870506</v>
      </c>
      <c r="AL60" s="574">
        <v>54</v>
      </c>
      <c r="AM60" s="569">
        <v>0.27411167512690354</v>
      </c>
      <c r="AN60" s="571">
        <v>109.12574074074074</v>
      </c>
      <c r="AO60" s="663"/>
      <c r="AP60" s="575"/>
      <c r="AQ60" s="636"/>
      <c r="AR60" s="637"/>
      <c r="AS60" s="633">
        <v>2.31</v>
      </c>
      <c r="AT60" s="579"/>
      <c r="AU60" s="580"/>
    </row>
    <row r="61" spans="1:47" ht="21" hidden="1" customHeight="1">
      <c r="A61" t="s">
        <v>525</v>
      </c>
      <c r="B61" t="s">
        <v>476</v>
      </c>
      <c r="C61" s="759"/>
      <c r="D61" s="561" t="s">
        <v>52</v>
      </c>
      <c r="E61" s="561" t="s">
        <v>145</v>
      </c>
      <c r="F61" s="561" t="s">
        <v>44</v>
      </c>
      <c r="G61" s="561" t="s">
        <v>60</v>
      </c>
      <c r="H61" s="565">
        <v>10807.3</v>
      </c>
      <c r="I61" s="564">
        <v>496</v>
      </c>
      <c r="J61" s="565">
        <v>21.788911290322581</v>
      </c>
      <c r="K61" s="566">
        <v>422</v>
      </c>
      <c r="L61" s="567">
        <v>0.14919354838709678</v>
      </c>
      <c r="M61" s="564">
        <v>308</v>
      </c>
      <c r="N61" s="568">
        <v>0.27014218009478674</v>
      </c>
      <c r="O61" s="565">
        <v>35.088636363636361</v>
      </c>
      <c r="P61" s="564">
        <v>102</v>
      </c>
      <c r="Q61" s="569">
        <v>0.24170616113744076</v>
      </c>
      <c r="R61" s="571">
        <v>105.95392156862745</v>
      </c>
      <c r="S61" s="563" t="s">
        <v>123</v>
      </c>
      <c r="T61" s="564" t="s">
        <v>123</v>
      </c>
      <c r="U61" s="565" t="s">
        <v>123</v>
      </c>
      <c r="V61" s="566" t="s">
        <v>123</v>
      </c>
      <c r="W61" s="567" t="s">
        <v>123</v>
      </c>
      <c r="X61" s="564" t="s">
        <v>123</v>
      </c>
      <c r="Y61" s="568" t="s">
        <v>123</v>
      </c>
      <c r="Z61" s="565" t="s">
        <v>123</v>
      </c>
      <c r="AA61" s="591" t="s">
        <v>123</v>
      </c>
      <c r="AB61" s="569" t="s">
        <v>123</v>
      </c>
      <c r="AC61" s="571" t="s">
        <v>123</v>
      </c>
      <c r="AD61" s="572">
        <v>10807.3</v>
      </c>
      <c r="AE61" s="573">
        <v>496</v>
      </c>
      <c r="AF61" s="650">
        <v>21.788911290322581</v>
      </c>
      <c r="AG61" s="566">
        <v>422</v>
      </c>
      <c r="AH61" s="567">
        <v>0.14919354838709678</v>
      </c>
      <c r="AI61" s="564">
        <v>308</v>
      </c>
      <c r="AJ61" s="568">
        <v>0.27014218009478674</v>
      </c>
      <c r="AK61" s="565">
        <v>35.088636363636361</v>
      </c>
      <c r="AL61" s="574">
        <v>102</v>
      </c>
      <c r="AM61" s="569">
        <v>0.24170616113744076</v>
      </c>
      <c r="AN61" s="571">
        <v>105.95392156862745</v>
      </c>
      <c r="AO61" s="663"/>
      <c r="AP61" s="575"/>
      <c r="AQ61" s="636"/>
      <c r="AR61" s="637"/>
      <c r="AS61" s="633">
        <v>2.31</v>
      </c>
      <c r="AT61" s="579"/>
      <c r="AU61" s="580"/>
    </row>
    <row r="62" spans="1:47" ht="21" hidden="1" customHeight="1">
      <c r="A62" t="s">
        <v>526</v>
      </c>
      <c r="B62" t="s">
        <v>478</v>
      </c>
      <c r="C62" s="760"/>
      <c r="D62" s="584" t="s">
        <v>40</v>
      </c>
      <c r="E62" s="584" t="s">
        <v>57</v>
      </c>
      <c r="F62" s="584" t="s">
        <v>57</v>
      </c>
      <c r="G62" s="584" t="s">
        <v>60</v>
      </c>
      <c r="H62" s="565">
        <v>50255.98</v>
      </c>
      <c r="I62" s="581">
        <v>6443</v>
      </c>
      <c r="J62" s="582">
        <v>7.8000900201769365</v>
      </c>
      <c r="K62" s="566">
        <v>3454</v>
      </c>
      <c r="L62" s="567">
        <v>0.46391432562470897</v>
      </c>
      <c r="M62" s="564">
        <v>2246</v>
      </c>
      <c r="N62" s="568">
        <v>0.34973943254198031</v>
      </c>
      <c r="O62" s="586">
        <v>22.375770258236866</v>
      </c>
      <c r="P62" s="564">
        <v>558</v>
      </c>
      <c r="Q62" s="569">
        <v>0.16155182397220613</v>
      </c>
      <c r="R62" s="571">
        <v>90.064480286738359</v>
      </c>
      <c r="S62" s="563">
        <v>50255.98</v>
      </c>
      <c r="T62" s="564">
        <v>6443</v>
      </c>
      <c r="U62" s="565">
        <v>7.8000900201769365</v>
      </c>
      <c r="V62" s="566">
        <v>3454</v>
      </c>
      <c r="W62" s="567">
        <v>0.46391432562470897</v>
      </c>
      <c r="X62" s="564">
        <v>2246</v>
      </c>
      <c r="Y62" s="568">
        <v>0.34973943254198031</v>
      </c>
      <c r="Z62" s="586">
        <v>22.375770258236866</v>
      </c>
      <c r="AA62" s="591">
        <v>558</v>
      </c>
      <c r="AB62" s="569">
        <v>0.16155182397220613</v>
      </c>
      <c r="AC62" s="571">
        <v>90.064480286738359</v>
      </c>
      <c r="AD62" s="572" t="s">
        <v>123</v>
      </c>
      <c r="AE62" s="573" t="s">
        <v>123</v>
      </c>
      <c r="AF62" s="650" t="s">
        <v>123</v>
      </c>
      <c r="AG62" s="566" t="s">
        <v>123</v>
      </c>
      <c r="AH62" s="567" t="s">
        <v>123</v>
      </c>
      <c r="AI62" s="564" t="s">
        <v>123</v>
      </c>
      <c r="AJ62" s="568" t="s">
        <v>123</v>
      </c>
      <c r="AK62" s="586" t="s">
        <v>123</v>
      </c>
      <c r="AL62" s="574" t="s">
        <v>123</v>
      </c>
      <c r="AM62" s="569" t="s">
        <v>123</v>
      </c>
      <c r="AN62" s="571" t="s">
        <v>123</v>
      </c>
      <c r="AO62" s="663"/>
      <c r="AP62" s="587"/>
      <c r="AQ62" s="636"/>
      <c r="AR62" s="641"/>
      <c r="AS62" s="633">
        <v>2.31</v>
      </c>
      <c r="AT62" s="579"/>
      <c r="AU62" s="580"/>
    </row>
    <row r="63" spans="1:47" ht="49.95" customHeight="1">
      <c r="C63" s="758" t="s">
        <v>211</v>
      </c>
      <c r="D63" s="541"/>
      <c r="E63" s="541"/>
      <c r="F63" s="541"/>
      <c r="G63" s="541" t="s">
        <v>139</v>
      </c>
      <c r="H63" s="545">
        <v>102807.27</v>
      </c>
      <c r="I63" s="544">
        <v>11380</v>
      </c>
      <c r="J63" s="545">
        <v>9.0340307557117754</v>
      </c>
      <c r="K63" s="546">
        <v>6491</v>
      </c>
      <c r="L63" s="547">
        <v>0.42961335676625662</v>
      </c>
      <c r="M63" s="544">
        <v>2241</v>
      </c>
      <c r="N63" s="548">
        <v>0.6547527345555384</v>
      </c>
      <c r="O63" s="549">
        <v>45.875622489959838</v>
      </c>
      <c r="P63" s="544">
        <v>1085</v>
      </c>
      <c r="Q63" s="548">
        <v>0.1671545216453551</v>
      </c>
      <c r="R63" s="551">
        <v>94.753244239631343</v>
      </c>
      <c r="S63" s="543">
        <v>69176.69</v>
      </c>
      <c r="T63" s="544">
        <v>9855</v>
      </c>
      <c r="U63" s="545">
        <v>7.0194510400811776</v>
      </c>
      <c r="V63" s="546">
        <v>5196</v>
      </c>
      <c r="W63" s="547">
        <v>0.47275494672754947</v>
      </c>
      <c r="X63" s="544">
        <v>1652</v>
      </c>
      <c r="Y63" s="548">
        <v>0.68206312548113934</v>
      </c>
      <c r="Z63" s="549">
        <v>41.874509685230024</v>
      </c>
      <c r="AA63" s="629">
        <v>774</v>
      </c>
      <c r="AB63" s="548">
        <v>0.1489607390300231</v>
      </c>
      <c r="AC63" s="551">
        <v>89.375568475452198</v>
      </c>
      <c r="AD63" s="552">
        <v>33630.58</v>
      </c>
      <c r="AE63" s="553">
        <v>1525</v>
      </c>
      <c r="AF63" s="549">
        <v>22.052839344262296</v>
      </c>
      <c r="AG63" s="546">
        <v>1295</v>
      </c>
      <c r="AH63" s="547">
        <v>0.15081967213114755</v>
      </c>
      <c r="AI63" s="553">
        <v>589</v>
      </c>
      <c r="AJ63" s="548">
        <v>0.54517374517374517</v>
      </c>
      <c r="AK63" s="549">
        <v>57.097758913412569</v>
      </c>
      <c r="AL63" s="554">
        <v>311</v>
      </c>
      <c r="AM63" s="548">
        <v>0.24015444015444015</v>
      </c>
      <c r="AN63" s="551">
        <v>108.13691318327974</v>
      </c>
      <c r="AO63" s="662">
        <v>0.8286</v>
      </c>
      <c r="AP63" s="555">
        <v>0.63400000000000001</v>
      </c>
      <c r="AQ63" s="631">
        <v>0.73499999999999999</v>
      </c>
      <c r="AR63" s="632">
        <v>0.72899999999999998</v>
      </c>
      <c r="AS63" s="633">
        <v>2.2200000000000002</v>
      </c>
      <c r="AT63" s="589" t="s">
        <v>212</v>
      </c>
      <c r="AU63" s="589" t="s">
        <v>213</v>
      </c>
    </row>
    <row r="64" spans="1:47" ht="21" hidden="1" customHeight="1">
      <c r="A64" t="s">
        <v>527</v>
      </c>
      <c r="B64" t="s">
        <v>466</v>
      </c>
      <c r="C64" s="759"/>
      <c r="D64" s="561" t="s">
        <v>40</v>
      </c>
      <c r="E64" s="561" t="s">
        <v>142</v>
      </c>
      <c r="F64" s="561" t="s">
        <v>44</v>
      </c>
      <c r="G64" s="561" t="s">
        <v>42</v>
      </c>
      <c r="H64" s="565">
        <v>4903.57</v>
      </c>
      <c r="I64" s="564">
        <v>265</v>
      </c>
      <c r="J64" s="565">
        <v>18.504037735849057</v>
      </c>
      <c r="K64" s="566">
        <v>212</v>
      </c>
      <c r="L64" s="567">
        <v>0.2</v>
      </c>
      <c r="M64" s="564">
        <v>120</v>
      </c>
      <c r="N64" s="568">
        <v>0.43396226415094341</v>
      </c>
      <c r="O64" s="565">
        <v>40.863083333333329</v>
      </c>
      <c r="P64" s="564">
        <v>73</v>
      </c>
      <c r="Q64" s="569">
        <v>0.34433962264150941</v>
      </c>
      <c r="R64" s="571">
        <v>67.172191780821919</v>
      </c>
      <c r="S64" s="563" t="s">
        <v>123</v>
      </c>
      <c r="T64" s="564" t="s">
        <v>123</v>
      </c>
      <c r="U64" s="565" t="s">
        <v>123</v>
      </c>
      <c r="V64" s="566" t="s">
        <v>123</v>
      </c>
      <c r="W64" s="567" t="s">
        <v>123</v>
      </c>
      <c r="X64" s="564" t="s">
        <v>123</v>
      </c>
      <c r="Y64" s="568" t="s">
        <v>123</v>
      </c>
      <c r="Z64" s="565" t="s">
        <v>123</v>
      </c>
      <c r="AA64" s="591" t="s">
        <v>123</v>
      </c>
      <c r="AB64" s="569" t="s">
        <v>123</v>
      </c>
      <c r="AC64" s="571" t="s">
        <v>123</v>
      </c>
      <c r="AD64" s="563">
        <v>4903.57</v>
      </c>
      <c r="AE64" s="564">
        <v>265</v>
      </c>
      <c r="AF64" s="565">
        <v>18.504037735849057</v>
      </c>
      <c r="AG64" s="566">
        <v>212</v>
      </c>
      <c r="AH64" s="567">
        <v>0.2</v>
      </c>
      <c r="AI64" s="564">
        <v>120</v>
      </c>
      <c r="AJ64" s="568">
        <v>0.43396226415094341</v>
      </c>
      <c r="AK64" s="565">
        <v>40.863083333333329</v>
      </c>
      <c r="AL64" s="591">
        <v>73</v>
      </c>
      <c r="AM64" s="569">
        <v>0.34433962264150941</v>
      </c>
      <c r="AN64" s="571">
        <v>67.172191780821919</v>
      </c>
      <c r="AO64" s="663"/>
      <c r="AP64" s="575"/>
      <c r="AQ64" s="636"/>
      <c r="AR64" s="637"/>
      <c r="AS64" s="638"/>
      <c r="AT64" s="579"/>
      <c r="AU64" s="580"/>
    </row>
    <row r="65" spans="1:47" ht="21" hidden="1" customHeight="1">
      <c r="A65" t="s">
        <v>528</v>
      </c>
      <c r="B65" t="s">
        <v>468</v>
      </c>
      <c r="C65" s="759"/>
      <c r="D65" s="561" t="s">
        <v>52</v>
      </c>
      <c r="E65" s="561" t="s">
        <v>145</v>
      </c>
      <c r="F65" s="561" t="s">
        <v>44</v>
      </c>
      <c r="G65" s="561" t="s">
        <v>42</v>
      </c>
      <c r="H65" s="565">
        <v>11081.16</v>
      </c>
      <c r="I65" s="564">
        <v>503</v>
      </c>
      <c r="J65" s="565">
        <v>22.030139165009938</v>
      </c>
      <c r="K65" s="566">
        <v>416</v>
      </c>
      <c r="L65" s="567">
        <v>0.17296222664015903</v>
      </c>
      <c r="M65" s="564">
        <v>179</v>
      </c>
      <c r="N65" s="568">
        <v>0.56971153846153844</v>
      </c>
      <c r="O65" s="565">
        <v>61.905921787709495</v>
      </c>
      <c r="P65" s="564">
        <v>70</v>
      </c>
      <c r="Q65" s="569">
        <v>0.16826923076923078</v>
      </c>
      <c r="R65" s="571">
        <v>158.30228571428572</v>
      </c>
      <c r="S65" s="563" t="s">
        <v>123</v>
      </c>
      <c r="T65" s="564" t="s">
        <v>123</v>
      </c>
      <c r="U65" s="565" t="s">
        <v>123</v>
      </c>
      <c r="V65" s="566" t="s">
        <v>123</v>
      </c>
      <c r="W65" s="567" t="s">
        <v>123</v>
      </c>
      <c r="X65" s="564" t="s">
        <v>123</v>
      </c>
      <c r="Y65" s="568" t="s">
        <v>123</v>
      </c>
      <c r="Z65" s="565" t="s">
        <v>123</v>
      </c>
      <c r="AA65" s="591" t="s">
        <v>123</v>
      </c>
      <c r="AB65" s="569" t="s">
        <v>123</v>
      </c>
      <c r="AC65" s="571" t="s">
        <v>123</v>
      </c>
      <c r="AD65" s="563">
        <v>11081.16</v>
      </c>
      <c r="AE65" s="564">
        <v>503</v>
      </c>
      <c r="AF65" s="565">
        <v>22.030139165009938</v>
      </c>
      <c r="AG65" s="566">
        <v>416</v>
      </c>
      <c r="AH65" s="567">
        <v>0.17296222664015903</v>
      </c>
      <c r="AI65" s="564">
        <v>179</v>
      </c>
      <c r="AJ65" s="568">
        <v>0.56971153846153844</v>
      </c>
      <c r="AK65" s="565">
        <v>61.905921787709495</v>
      </c>
      <c r="AL65" s="591">
        <v>70</v>
      </c>
      <c r="AM65" s="569">
        <v>0.16826923076923078</v>
      </c>
      <c r="AN65" s="571">
        <v>158.30228571428572</v>
      </c>
      <c r="AO65" s="663"/>
      <c r="AP65" s="575"/>
      <c r="AQ65" s="636"/>
      <c r="AR65" s="637"/>
      <c r="AS65" s="638"/>
      <c r="AT65" s="579"/>
      <c r="AU65" s="580"/>
    </row>
    <row r="66" spans="1:47" ht="21" hidden="1" customHeight="1">
      <c r="A66" t="s">
        <v>529</v>
      </c>
      <c r="B66" t="s">
        <v>470</v>
      </c>
      <c r="C66" s="759"/>
      <c r="D66" s="561" t="s">
        <v>40</v>
      </c>
      <c r="E66" s="561" t="s">
        <v>57</v>
      </c>
      <c r="F66" s="561" t="s">
        <v>57</v>
      </c>
      <c r="G66" s="561" t="s">
        <v>42</v>
      </c>
      <c r="H66" s="565">
        <v>4385.95</v>
      </c>
      <c r="I66" s="564">
        <v>549</v>
      </c>
      <c r="J66" s="565">
        <v>7.9889799635701273</v>
      </c>
      <c r="K66" s="566">
        <v>166</v>
      </c>
      <c r="L66" s="567">
        <v>0.69763205828779595</v>
      </c>
      <c r="M66" s="564">
        <v>46</v>
      </c>
      <c r="N66" s="568">
        <v>0.72289156626506024</v>
      </c>
      <c r="O66" s="565">
        <v>95.346739130434784</v>
      </c>
      <c r="P66" s="564">
        <v>14</v>
      </c>
      <c r="Q66" s="569">
        <v>8.4337349397590355E-2</v>
      </c>
      <c r="R66" s="571">
        <v>313.28214285714284</v>
      </c>
      <c r="S66" s="563">
        <v>4385.95</v>
      </c>
      <c r="T66" s="564">
        <v>549</v>
      </c>
      <c r="U66" s="565">
        <v>7.9889799635701273</v>
      </c>
      <c r="V66" s="566">
        <v>166</v>
      </c>
      <c r="W66" s="567">
        <v>0.69763205828779595</v>
      </c>
      <c r="X66" s="564">
        <v>46</v>
      </c>
      <c r="Y66" s="568">
        <v>0.72289156626506024</v>
      </c>
      <c r="Z66" s="565">
        <v>95.346739130434784</v>
      </c>
      <c r="AA66" s="591">
        <v>14</v>
      </c>
      <c r="AB66" s="569">
        <v>8.4337349397590355E-2</v>
      </c>
      <c r="AC66" s="571">
        <v>313.28214285714284</v>
      </c>
      <c r="AD66" s="563" t="s">
        <v>123</v>
      </c>
      <c r="AE66" s="564" t="s">
        <v>123</v>
      </c>
      <c r="AF66" s="565" t="s">
        <v>123</v>
      </c>
      <c r="AG66" s="566" t="s">
        <v>123</v>
      </c>
      <c r="AH66" s="567" t="s">
        <v>123</v>
      </c>
      <c r="AI66" s="564" t="s">
        <v>123</v>
      </c>
      <c r="AJ66" s="568" t="s">
        <v>123</v>
      </c>
      <c r="AK66" s="565" t="s">
        <v>123</v>
      </c>
      <c r="AL66" s="591" t="s">
        <v>123</v>
      </c>
      <c r="AM66" s="569" t="s">
        <v>123</v>
      </c>
      <c r="AN66" s="571" t="s">
        <v>123</v>
      </c>
      <c r="AO66" s="663"/>
      <c r="AP66" s="575"/>
      <c r="AQ66" s="636"/>
      <c r="AR66" s="637"/>
      <c r="AS66" s="638"/>
      <c r="AT66" s="579"/>
      <c r="AU66" s="580"/>
    </row>
    <row r="67" spans="1:47" ht="21" hidden="1" customHeight="1">
      <c r="A67" t="s">
        <v>530</v>
      </c>
      <c r="B67" t="s">
        <v>472</v>
      </c>
      <c r="C67" s="759"/>
      <c r="D67" s="561" t="s">
        <v>52</v>
      </c>
      <c r="E67" s="561" t="s">
        <v>121</v>
      </c>
      <c r="F67" s="561" t="s">
        <v>44</v>
      </c>
      <c r="G67" s="561" t="s">
        <v>42</v>
      </c>
      <c r="H67" s="565">
        <v>0</v>
      </c>
      <c r="I67" s="564">
        <v>0</v>
      </c>
      <c r="J67" s="565" t="s">
        <v>123</v>
      </c>
      <c r="K67" s="566">
        <v>0</v>
      </c>
      <c r="L67" s="567" t="s">
        <v>123</v>
      </c>
      <c r="M67" s="564">
        <v>0</v>
      </c>
      <c r="N67" s="568" t="s">
        <v>123</v>
      </c>
      <c r="O67" s="565" t="s">
        <v>123</v>
      </c>
      <c r="P67" s="564">
        <v>0</v>
      </c>
      <c r="Q67" s="569" t="s">
        <v>123</v>
      </c>
      <c r="R67" s="571" t="s">
        <v>123</v>
      </c>
      <c r="S67" s="563" t="s">
        <v>123</v>
      </c>
      <c r="T67" s="564" t="s">
        <v>123</v>
      </c>
      <c r="U67" s="565" t="s">
        <v>123</v>
      </c>
      <c r="V67" s="566" t="s">
        <v>123</v>
      </c>
      <c r="W67" s="567" t="s">
        <v>123</v>
      </c>
      <c r="X67" s="564" t="s">
        <v>123</v>
      </c>
      <c r="Y67" s="568" t="s">
        <v>123</v>
      </c>
      <c r="Z67" s="565" t="s">
        <v>123</v>
      </c>
      <c r="AA67" s="591" t="s">
        <v>123</v>
      </c>
      <c r="AB67" s="569" t="s">
        <v>123</v>
      </c>
      <c r="AC67" s="571" t="s">
        <v>123</v>
      </c>
      <c r="AD67" s="563">
        <v>0</v>
      </c>
      <c r="AE67" s="564">
        <v>0</v>
      </c>
      <c r="AF67" s="565" t="s">
        <v>123</v>
      </c>
      <c r="AG67" s="566">
        <v>0</v>
      </c>
      <c r="AH67" s="567" t="s">
        <v>123</v>
      </c>
      <c r="AI67" s="564">
        <v>0</v>
      </c>
      <c r="AJ67" s="568" t="s">
        <v>123</v>
      </c>
      <c r="AK67" s="565" t="s">
        <v>123</v>
      </c>
      <c r="AL67" s="591">
        <v>0</v>
      </c>
      <c r="AM67" s="569" t="s">
        <v>123</v>
      </c>
      <c r="AN67" s="571" t="s">
        <v>123</v>
      </c>
      <c r="AO67" s="663"/>
      <c r="AP67" s="575"/>
      <c r="AQ67" s="636"/>
      <c r="AR67" s="637"/>
      <c r="AS67" s="638"/>
      <c r="AT67" s="579"/>
      <c r="AU67" s="580"/>
    </row>
    <row r="68" spans="1:47" ht="21" hidden="1" customHeight="1">
      <c r="A68" t="s">
        <v>531</v>
      </c>
      <c r="B68" t="s">
        <v>474</v>
      </c>
      <c r="C68" s="759"/>
      <c r="D68" s="561" t="s">
        <v>40</v>
      </c>
      <c r="E68" s="561" t="s">
        <v>142</v>
      </c>
      <c r="F68" s="561" t="s">
        <v>44</v>
      </c>
      <c r="G68" s="561" t="s">
        <v>60</v>
      </c>
      <c r="H68" s="565">
        <v>7182.21</v>
      </c>
      <c r="I68" s="564">
        <v>253</v>
      </c>
      <c r="J68" s="565">
        <v>28.388181818181817</v>
      </c>
      <c r="K68" s="566">
        <v>228</v>
      </c>
      <c r="L68" s="567">
        <v>9.8814229249011856E-2</v>
      </c>
      <c r="M68" s="564">
        <v>105</v>
      </c>
      <c r="N68" s="568">
        <v>0.53947368421052633</v>
      </c>
      <c r="O68" s="565">
        <v>68.402000000000001</v>
      </c>
      <c r="P68" s="564">
        <v>54</v>
      </c>
      <c r="Q68" s="569">
        <v>0.23684210526315788</v>
      </c>
      <c r="R68" s="571">
        <v>133.00388888888889</v>
      </c>
      <c r="S68" s="563" t="s">
        <v>123</v>
      </c>
      <c r="T68" s="564" t="s">
        <v>123</v>
      </c>
      <c r="U68" s="565" t="s">
        <v>123</v>
      </c>
      <c r="V68" s="566" t="s">
        <v>123</v>
      </c>
      <c r="W68" s="567" t="s">
        <v>123</v>
      </c>
      <c r="X68" s="564" t="s">
        <v>123</v>
      </c>
      <c r="Y68" s="568" t="s">
        <v>123</v>
      </c>
      <c r="Z68" s="565" t="s">
        <v>123</v>
      </c>
      <c r="AA68" s="591" t="s">
        <v>123</v>
      </c>
      <c r="AB68" s="569" t="s">
        <v>123</v>
      </c>
      <c r="AC68" s="571" t="s">
        <v>123</v>
      </c>
      <c r="AD68" s="563">
        <v>7182.21</v>
      </c>
      <c r="AE68" s="564">
        <v>253</v>
      </c>
      <c r="AF68" s="565">
        <v>28.388181818181817</v>
      </c>
      <c r="AG68" s="566">
        <v>228</v>
      </c>
      <c r="AH68" s="567">
        <v>9.8814229249011856E-2</v>
      </c>
      <c r="AI68" s="564">
        <v>105</v>
      </c>
      <c r="AJ68" s="568">
        <v>0.53947368421052633</v>
      </c>
      <c r="AK68" s="565">
        <v>68.402000000000001</v>
      </c>
      <c r="AL68" s="591">
        <v>54</v>
      </c>
      <c r="AM68" s="569">
        <v>0.23684210526315788</v>
      </c>
      <c r="AN68" s="571">
        <v>133.00388888888889</v>
      </c>
      <c r="AO68" s="663"/>
      <c r="AP68" s="575"/>
      <c r="AQ68" s="636"/>
      <c r="AR68" s="637"/>
      <c r="AS68" s="638"/>
      <c r="AT68" s="579"/>
      <c r="AU68" s="580"/>
    </row>
    <row r="69" spans="1:47" ht="21" hidden="1" customHeight="1">
      <c r="A69" t="s">
        <v>532</v>
      </c>
      <c r="B69" t="s">
        <v>476</v>
      </c>
      <c r="C69" s="759"/>
      <c r="D69" s="561" t="s">
        <v>52</v>
      </c>
      <c r="E69" s="561" t="s">
        <v>145</v>
      </c>
      <c r="F69" s="561" t="s">
        <v>44</v>
      </c>
      <c r="G69" s="561" t="s">
        <v>60</v>
      </c>
      <c r="H69" s="565">
        <v>10463.64</v>
      </c>
      <c r="I69" s="564">
        <v>504</v>
      </c>
      <c r="J69" s="565">
        <v>20.761190476190475</v>
      </c>
      <c r="K69" s="566">
        <v>439</v>
      </c>
      <c r="L69" s="567">
        <v>0.12896825396825398</v>
      </c>
      <c r="M69" s="564">
        <v>185</v>
      </c>
      <c r="N69" s="568">
        <v>0.57858769931662868</v>
      </c>
      <c r="O69" s="565">
        <v>56.560216216216212</v>
      </c>
      <c r="P69" s="564">
        <v>114</v>
      </c>
      <c r="Q69" s="569">
        <v>0.25968109339407747</v>
      </c>
      <c r="R69" s="571">
        <v>91.786315789473676</v>
      </c>
      <c r="S69" s="563" t="s">
        <v>123</v>
      </c>
      <c r="T69" s="564" t="s">
        <v>123</v>
      </c>
      <c r="U69" s="565" t="s">
        <v>123</v>
      </c>
      <c r="V69" s="566" t="s">
        <v>123</v>
      </c>
      <c r="W69" s="567" t="s">
        <v>123</v>
      </c>
      <c r="X69" s="564" t="s">
        <v>123</v>
      </c>
      <c r="Y69" s="568" t="s">
        <v>123</v>
      </c>
      <c r="Z69" s="565" t="s">
        <v>123</v>
      </c>
      <c r="AA69" s="591" t="s">
        <v>123</v>
      </c>
      <c r="AB69" s="569" t="s">
        <v>123</v>
      </c>
      <c r="AC69" s="571" t="s">
        <v>123</v>
      </c>
      <c r="AD69" s="563">
        <v>10463.64</v>
      </c>
      <c r="AE69" s="564">
        <v>504</v>
      </c>
      <c r="AF69" s="565">
        <v>20.761190476190475</v>
      </c>
      <c r="AG69" s="566">
        <v>439</v>
      </c>
      <c r="AH69" s="567">
        <v>0.12896825396825398</v>
      </c>
      <c r="AI69" s="564">
        <v>185</v>
      </c>
      <c r="AJ69" s="568">
        <v>0.57858769931662868</v>
      </c>
      <c r="AK69" s="565">
        <v>56.560216216216212</v>
      </c>
      <c r="AL69" s="591">
        <v>114</v>
      </c>
      <c r="AM69" s="569">
        <v>0.25968109339407747</v>
      </c>
      <c r="AN69" s="571">
        <v>91.786315789473676</v>
      </c>
      <c r="AO69" s="663"/>
      <c r="AP69" s="575"/>
      <c r="AQ69" s="636"/>
      <c r="AR69" s="637"/>
      <c r="AS69" s="638"/>
      <c r="AT69" s="579"/>
      <c r="AU69" s="580"/>
    </row>
    <row r="70" spans="1:47" ht="21" hidden="1" customHeight="1">
      <c r="A70" t="s">
        <v>533</v>
      </c>
      <c r="B70" t="s">
        <v>478</v>
      </c>
      <c r="C70" s="760"/>
      <c r="D70" s="584" t="s">
        <v>40</v>
      </c>
      <c r="E70" s="584" t="s">
        <v>57</v>
      </c>
      <c r="F70" s="584" t="s">
        <v>57</v>
      </c>
      <c r="G70" s="584" t="s">
        <v>60</v>
      </c>
      <c r="H70" s="565">
        <v>64790.740000000005</v>
      </c>
      <c r="I70" s="581">
        <v>9306</v>
      </c>
      <c r="J70" s="582">
        <v>6.962254459488503</v>
      </c>
      <c r="K70" s="566">
        <v>5030</v>
      </c>
      <c r="L70" s="567">
        <v>0.45948850204169356</v>
      </c>
      <c r="M70" s="564">
        <v>1606</v>
      </c>
      <c r="N70" s="568">
        <v>0.68071570576540752</v>
      </c>
      <c r="O70" s="586">
        <v>40.342926525529272</v>
      </c>
      <c r="P70" s="564">
        <v>760</v>
      </c>
      <c r="Q70" s="569">
        <v>0.15109343936381708</v>
      </c>
      <c r="R70" s="571">
        <v>85.250973684210535</v>
      </c>
      <c r="S70" s="563">
        <v>64790.740000000005</v>
      </c>
      <c r="T70" s="564">
        <v>9306</v>
      </c>
      <c r="U70" s="565">
        <v>6.962254459488503</v>
      </c>
      <c r="V70" s="566">
        <v>5030</v>
      </c>
      <c r="W70" s="567">
        <v>0.45948850204169356</v>
      </c>
      <c r="X70" s="564">
        <v>1606</v>
      </c>
      <c r="Y70" s="568">
        <v>0.68071570576540752</v>
      </c>
      <c r="Z70" s="586">
        <v>40.342926525529272</v>
      </c>
      <c r="AA70" s="591">
        <v>760</v>
      </c>
      <c r="AB70" s="569">
        <v>0.15109343936381708</v>
      </c>
      <c r="AC70" s="571">
        <v>85.250973684210535</v>
      </c>
      <c r="AD70" s="563" t="s">
        <v>123</v>
      </c>
      <c r="AE70" s="564" t="s">
        <v>123</v>
      </c>
      <c r="AF70" s="565" t="s">
        <v>123</v>
      </c>
      <c r="AG70" s="566" t="s">
        <v>123</v>
      </c>
      <c r="AH70" s="567" t="s">
        <v>123</v>
      </c>
      <c r="AI70" s="564" t="s">
        <v>123</v>
      </c>
      <c r="AJ70" s="568" t="s">
        <v>123</v>
      </c>
      <c r="AK70" s="586" t="s">
        <v>123</v>
      </c>
      <c r="AL70" s="591" t="s">
        <v>123</v>
      </c>
      <c r="AM70" s="569" t="s">
        <v>123</v>
      </c>
      <c r="AN70" s="571" t="s">
        <v>123</v>
      </c>
      <c r="AO70" s="663"/>
      <c r="AP70" s="587"/>
      <c r="AQ70" s="636"/>
      <c r="AR70" s="641"/>
      <c r="AS70" s="638"/>
      <c r="AT70" s="579"/>
      <c r="AU70" s="580"/>
    </row>
    <row r="71" spans="1:47" ht="49.95" customHeight="1">
      <c r="C71" s="758" t="s">
        <v>221</v>
      </c>
      <c r="D71" s="541"/>
      <c r="E71" s="541"/>
      <c r="F71" s="541"/>
      <c r="G71" s="541" t="s">
        <v>139</v>
      </c>
      <c r="H71" s="545">
        <v>66975.83</v>
      </c>
      <c r="I71" s="544">
        <v>3846</v>
      </c>
      <c r="J71" s="545">
        <v>17.414412376495061</v>
      </c>
      <c r="K71" s="546">
        <v>2688</v>
      </c>
      <c r="L71" s="547">
        <v>0.30109204368174725</v>
      </c>
      <c r="M71" s="544">
        <v>1111</v>
      </c>
      <c r="N71" s="548">
        <v>0.58668154761904767</v>
      </c>
      <c r="O71" s="549">
        <v>60.284275427542752</v>
      </c>
      <c r="P71" s="544">
        <v>559</v>
      </c>
      <c r="Q71" s="548">
        <v>0.20796130952380953</v>
      </c>
      <c r="R71" s="551">
        <v>119.81364937388193</v>
      </c>
      <c r="S71" s="552">
        <v>27865.22</v>
      </c>
      <c r="T71" s="553">
        <v>2263</v>
      </c>
      <c r="U71" s="549">
        <v>12.313398144056563</v>
      </c>
      <c r="V71" s="546">
        <v>1394</v>
      </c>
      <c r="W71" s="547">
        <v>0.38400353513035795</v>
      </c>
      <c r="X71" s="544">
        <v>487</v>
      </c>
      <c r="Y71" s="548">
        <v>0.65064562410329985</v>
      </c>
      <c r="Z71" s="549">
        <v>57.218110882956879</v>
      </c>
      <c r="AA71" s="629">
        <v>269</v>
      </c>
      <c r="AB71" s="548">
        <v>0.19296987087517933</v>
      </c>
      <c r="AC71" s="551">
        <v>103.58817843866171</v>
      </c>
      <c r="AD71" s="552">
        <v>39110.61</v>
      </c>
      <c r="AE71" s="553">
        <v>1583</v>
      </c>
      <c r="AF71" s="549">
        <v>24.706639292482627</v>
      </c>
      <c r="AG71" s="546">
        <v>1294</v>
      </c>
      <c r="AH71" s="547">
        <v>0.18256475047378395</v>
      </c>
      <c r="AI71" s="553">
        <v>624</v>
      </c>
      <c r="AJ71" s="643">
        <v>0.51777434312210202</v>
      </c>
      <c r="AK71" s="549">
        <v>62.677259615384614</v>
      </c>
      <c r="AL71" s="554">
        <v>290</v>
      </c>
      <c r="AM71" s="548">
        <v>0.22411128284389489</v>
      </c>
      <c r="AN71" s="551">
        <v>134.86417241379311</v>
      </c>
      <c r="AO71" s="662">
        <v>0.90059999999999996</v>
      </c>
      <c r="AP71" s="555">
        <v>0.63780000000000003</v>
      </c>
      <c r="AQ71" s="631">
        <v>0.73699999999999999</v>
      </c>
      <c r="AR71" s="632">
        <v>0.67600000000000005</v>
      </c>
      <c r="AS71" s="633">
        <v>2.88</v>
      </c>
      <c r="AT71" s="589" t="s">
        <v>222</v>
      </c>
      <c r="AU71" s="589" t="s">
        <v>223</v>
      </c>
    </row>
    <row r="72" spans="1:47" ht="21" hidden="1" customHeight="1">
      <c r="A72" t="s">
        <v>534</v>
      </c>
      <c r="B72" t="s">
        <v>466</v>
      </c>
      <c r="C72" s="759"/>
      <c r="D72" s="561" t="s">
        <v>40</v>
      </c>
      <c r="E72" s="561" t="s">
        <v>142</v>
      </c>
      <c r="F72" s="561" t="s">
        <v>44</v>
      </c>
      <c r="G72" s="561" t="s">
        <v>42</v>
      </c>
      <c r="H72" s="565">
        <v>6089.06</v>
      </c>
      <c r="I72" s="564">
        <v>336</v>
      </c>
      <c r="J72" s="565">
        <v>18.12220238095238</v>
      </c>
      <c r="K72" s="566">
        <v>258</v>
      </c>
      <c r="L72" s="567">
        <v>0.23214285714285715</v>
      </c>
      <c r="M72" s="564">
        <v>147</v>
      </c>
      <c r="N72" s="568">
        <v>0.43023255813953487</v>
      </c>
      <c r="O72" s="565">
        <v>41.422176870748302</v>
      </c>
      <c r="P72" s="564">
        <v>76</v>
      </c>
      <c r="Q72" s="569">
        <v>0.29457364341085274</v>
      </c>
      <c r="R72" s="571">
        <v>80.119210526315797</v>
      </c>
      <c r="S72" s="563" t="s">
        <v>123</v>
      </c>
      <c r="T72" s="564" t="s">
        <v>123</v>
      </c>
      <c r="U72" s="565" t="s">
        <v>123</v>
      </c>
      <c r="V72" s="566" t="s">
        <v>123</v>
      </c>
      <c r="W72" s="567" t="s">
        <v>123</v>
      </c>
      <c r="X72" s="564" t="s">
        <v>123</v>
      </c>
      <c r="Y72" s="568" t="s">
        <v>123</v>
      </c>
      <c r="Z72" s="565" t="s">
        <v>123</v>
      </c>
      <c r="AA72" s="591" t="s">
        <v>123</v>
      </c>
      <c r="AB72" s="569" t="s">
        <v>123</v>
      </c>
      <c r="AC72" s="571" t="s">
        <v>123</v>
      </c>
      <c r="AD72" s="563">
        <v>6089.06</v>
      </c>
      <c r="AE72" s="564">
        <v>336</v>
      </c>
      <c r="AF72" s="565">
        <v>18.12220238095238</v>
      </c>
      <c r="AG72" s="566">
        <v>258</v>
      </c>
      <c r="AH72" s="567">
        <v>0.23214285714285715</v>
      </c>
      <c r="AI72" s="564">
        <v>147</v>
      </c>
      <c r="AJ72" s="568">
        <v>0.43023255813953487</v>
      </c>
      <c r="AK72" s="565">
        <v>41.422176870748302</v>
      </c>
      <c r="AL72" s="591">
        <v>76</v>
      </c>
      <c r="AM72" s="569">
        <v>0.29457364341085274</v>
      </c>
      <c r="AN72" s="571">
        <v>80.119210526315797</v>
      </c>
      <c r="AO72" s="663"/>
      <c r="AP72" s="575"/>
      <c r="AQ72" s="636"/>
      <c r="AR72" s="637"/>
      <c r="AS72" s="633">
        <v>2.88</v>
      </c>
      <c r="AT72" s="579"/>
      <c r="AU72" s="580"/>
    </row>
    <row r="73" spans="1:47" ht="21" hidden="1" customHeight="1">
      <c r="A73" t="s">
        <v>535</v>
      </c>
      <c r="B73" t="s">
        <v>468</v>
      </c>
      <c r="C73" s="759"/>
      <c r="D73" s="561" t="s">
        <v>52</v>
      </c>
      <c r="E73" s="561" t="s">
        <v>145</v>
      </c>
      <c r="F73" s="561" t="s">
        <v>44</v>
      </c>
      <c r="G73" s="561" t="s">
        <v>42</v>
      </c>
      <c r="H73" s="565">
        <v>9366.7900000000009</v>
      </c>
      <c r="I73" s="564">
        <v>448</v>
      </c>
      <c r="J73" s="565">
        <v>20.908013392857146</v>
      </c>
      <c r="K73" s="566">
        <v>350</v>
      </c>
      <c r="L73" s="567">
        <v>0.21875</v>
      </c>
      <c r="M73" s="564">
        <v>160</v>
      </c>
      <c r="N73" s="568">
        <v>0.54285714285714282</v>
      </c>
      <c r="O73" s="565">
        <v>58.542437500000005</v>
      </c>
      <c r="P73" s="564">
        <v>54</v>
      </c>
      <c r="Q73" s="569">
        <v>0.15428571428571428</v>
      </c>
      <c r="R73" s="571">
        <v>173.4590740740741</v>
      </c>
      <c r="S73" s="563" t="s">
        <v>123</v>
      </c>
      <c r="T73" s="564" t="s">
        <v>123</v>
      </c>
      <c r="U73" s="565" t="s">
        <v>123</v>
      </c>
      <c r="V73" s="566" t="s">
        <v>123</v>
      </c>
      <c r="W73" s="567" t="s">
        <v>123</v>
      </c>
      <c r="X73" s="564" t="s">
        <v>123</v>
      </c>
      <c r="Y73" s="568" t="s">
        <v>123</v>
      </c>
      <c r="Z73" s="565" t="s">
        <v>123</v>
      </c>
      <c r="AA73" s="591" t="s">
        <v>123</v>
      </c>
      <c r="AB73" s="569" t="s">
        <v>123</v>
      </c>
      <c r="AC73" s="571" t="s">
        <v>123</v>
      </c>
      <c r="AD73" s="563">
        <v>9366.7900000000009</v>
      </c>
      <c r="AE73" s="564">
        <v>448</v>
      </c>
      <c r="AF73" s="565">
        <v>20.908013392857146</v>
      </c>
      <c r="AG73" s="566">
        <v>350</v>
      </c>
      <c r="AH73" s="567">
        <v>0.21875</v>
      </c>
      <c r="AI73" s="564">
        <v>160</v>
      </c>
      <c r="AJ73" s="568">
        <v>0.54285714285714282</v>
      </c>
      <c r="AK73" s="565">
        <v>58.542437500000005</v>
      </c>
      <c r="AL73" s="591">
        <v>54</v>
      </c>
      <c r="AM73" s="569">
        <v>0.15428571428571428</v>
      </c>
      <c r="AN73" s="571">
        <v>173.4590740740741</v>
      </c>
      <c r="AO73" s="663"/>
      <c r="AP73" s="575"/>
      <c r="AQ73" s="636"/>
      <c r="AR73" s="637"/>
      <c r="AS73" s="633">
        <v>2.88</v>
      </c>
      <c r="AT73" s="579"/>
      <c r="AU73" s="580"/>
    </row>
    <row r="74" spans="1:47" ht="21" hidden="1" customHeight="1">
      <c r="A74" t="s">
        <v>536</v>
      </c>
      <c r="B74" t="s">
        <v>470</v>
      </c>
      <c r="C74" s="759"/>
      <c r="D74" s="561" t="s">
        <v>40</v>
      </c>
      <c r="E74" s="561" t="s">
        <v>57</v>
      </c>
      <c r="F74" s="561" t="s">
        <v>57</v>
      </c>
      <c r="G74" s="561" t="s">
        <v>42</v>
      </c>
      <c r="H74" s="565">
        <v>3374.98</v>
      </c>
      <c r="I74" s="564">
        <v>455</v>
      </c>
      <c r="J74" s="565">
        <v>7.4175384615384612</v>
      </c>
      <c r="K74" s="566">
        <v>106</v>
      </c>
      <c r="L74" s="567">
        <v>0.76703296703296708</v>
      </c>
      <c r="M74" s="564">
        <v>36</v>
      </c>
      <c r="N74" s="568">
        <v>0.660377358490566</v>
      </c>
      <c r="O74" s="565">
        <v>93.74944444444445</v>
      </c>
      <c r="P74" s="564">
        <v>10</v>
      </c>
      <c r="Q74" s="569">
        <v>9.4339622641509441E-2</v>
      </c>
      <c r="R74" s="571">
        <v>337.49799999999999</v>
      </c>
      <c r="S74" s="563">
        <v>3374.98</v>
      </c>
      <c r="T74" s="564">
        <v>455</v>
      </c>
      <c r="U74" s="565">
        <v>7.4175384615384612</v>
      </c>
      <c r="V74" s="566">
        <v>106</v>
      </c>
      <c r="W74" s="567">
        <v>0.76703296703296708</v>
      </c>
      <c r="X74" s="564">
        <v>36</v>
      </c>
      <c r="Y74" s="568">
        <v>0.660377358490566</v>
      </c>
      <c r="Z74" s="565">
        <v>93.74944444444445</v>
      </c>
      <c r="AA74" s="591">
        <v>10</v>
      </c>
      <c r="AB74" s="569">
        <v>9.4339622641509441E-2</v>
      </c>
      <c r="AC74" s="571">
        <v>337.49799999999999</v>
      </c>
      <c r="AD74" s="563" t="s">
        <v>123</v>
      </c>
      <c r="AE74" s="564" t="s">
        <v>123</v>
      </c>
      <c r="AF74" s="565" t="s">
        <v>123</v>
      </c>
      <c r="AG74" s="566" t="s">
        <v>123</v>
      </c>
      <c r="AH74" s="567" t="s">
        <v>123</v>
      </c>
      <c r="AI74" s="564" t="s">
        <v>123</v>
      </c>
      <c r="AJ74" s="568" t="s">
        <v>123</v>
      </c>
      <c r="AK74" s="565" t="s">
        <v>123</v>
      </c>
      <c r="AL74" s="591" t="s">
        <v>123</v>
      </c>
      <c r="AM74" s="569" t="s">
        <v>123</v>
      </c>
      <c r="AN74" s="571" t="s">
        <v>123</v>
      </c>
      <c r="AO74" s="663"/>
      <c r="AP74" s="575"/>
      <c r="AQ74" s="636"/>
      <c r="AR74" s="637"/>
      <c r="AS74" s="633">
        <v>2.88</v>
      </c>
      <c r="AT74" s="579"/>
      <c r="AU74" s="580"/>
    </row>
    <row r="75" spans="1:47" ht="21" hidden="1" customHeight="1">
      <c r="A75" t="s">
        <v>537</v>
      </c>
      <c r="B75" t="s">
        <v>472</v>
      </c>
      <c r="C75" s="759"/>
      <c r="D75" s="561" t="s">
        <v>52</v>
      </c>
      <c r="E75" s="561" t="s">
        <v>121</v>
      </c>
      <c r="F75" s="561" t="s">
        <v>44</v>
      </c>
      <c r="G75" s="561" t="s">
        <v>42</v>
      </c>
      <c r="H75" s="565">
        <v>0</v>
      </c>
      <c r="I75" s="564">
        <v>0</v>
      </c>
      <c r="J75" s="565" t="s">
        <v>123</v>
      </c>
      <c r="K75" s="566">
        <v>0</v>
      </c>
      <c r="L75" s="567" t="s">
        <v>123</v>
      </c>
      <c r="M75" s="564">
        <v>0</v>
      </c>
      <c r="N75" s="568" t="s">
        <v>123</v>
      </c>
      <c r="O75" s="565" t="s">
        <v>123</v>
      </c>
      <c r="P75" s="564">
        <v>0</v>
      </c>
      <c r="Q75" s="569" t="s">
        <v>123</v>
      </c>
      <c r="R75" s="571" t="s">
        <v>123</v>
      </c>
      <c r="S75" s="563" t="s">
        <v>123</v>
      </c>
      <c r="T75" s="564" t="s">
        <v>123</v>
      </c>
      <c r="U75" s="565" t="s">
        <v>123</v>
      </c>
      <c r="V75" s="566" t="s">
        <v>123</v>
      </c>
      <c r="W75" s="567" t="s">
        <v>123</v>
      </c>
      <c r="X75" s="564" t="s">
        <v>123</v>
      </c>
      <c r="Y75" s="568" t="s">
        <v>123</v>
      </c>
      <c r="Z75" s="565" t="s">
        <v>123</v>
      </c>
      <c r="AA75" s="591" t="s">
        <v>123</v>
      </c>
      <c r="AB75" s="569" t="s">
        <v>123</v>
      </c>
      <c r="AC75" s="571" t="s">
        <v>123</v>
      </c>
      <c r="AD75" s="563">
        <v>0</v>
      </c>
      <c r="AE75" s="564">
        <v>0</v>
      </c>
      <c r="AF75" s="565" t="s">
        <v>123</v>
      </c>
      <c r="AG75" s="566">
        <v>0</v>
      </c>
      <c r="AH75" s="567" t="s">
        <v>123</v>
      </c>
      <c r="AI75" s="564">
        <v>0</v>
      </c>
      <c r="AJ75" s="568" t="s">
        <v>123</v>
      </c>
      <c r="AK75" s="565" t="s">
        <v>123</v>
      </c>
      <c r="AL75" s="591">
        <v>0</v>
      </c>
      <c r="AM75" s="569" t="s">
        <v>123</v>
      </c>
      <c r="AN75" s="571" t="s">
        <v>123</v>
      </c>
      <c r="AO75" s="663"/>
      <c r="AP75" s="575"/>
      <c r="AQ75" s="636"/>
      <c r="AR75" s="637"/>
      <c r="AS75" s="633">
        <v>2.88</v>
      </c>
      <c r="AT75" s="579"/>
      <c r="AU75" s="580"/>
    </row>
    <row r="76" spans="1:47" ht="21" hidden="1" customHeight="1">
      <c r="A76" t="s">
        <v>538</v>
      </c>
      <c r="B76" t="s">
        <v>474</v>
      </c>
      <c r="C76" s="759"/>
      <c r="D76" s="561" t="s">
        <v>40</v>
      </c>
      <c r="E76" s="561" t="s">
        <v>142</v>
      </c>
      <c r="F76" s="561" t="s">
        <v>44</v>
      </c>
      <c r="G76" s="561" t="s">
        <v>60</v>
      </c>
      <c r="H76" s="565">
        <v>11615.55</v>
      </c>
      <c r="I76" s="564">
        <v>301</v>
      </c>
      <c r="J76" s="565">
        <v>38.589867109634547</v>
      </c>
      <c r="K76" s="566">
        <v>244</v>
      </c>
      <c r="L76" s="567">
        <v>0.18936877076411959</v>
      </c>
      <c r="M76" s="564">
        <v>130</v>
      </c>
      <c r="N76" s="568">
        <v>0.46721311475409838</v>
      </c>
      <c r="O76" s="565">
        <v>89.350384615384613</v>
      </c>
      <c r="P76" s="564">
        <v>67</v>
      </c>
      <c r="Q76" s="569">
        <v>0.27459016393442626</v>
      </c>
      <c r="R76" s="571">
        <v>173.36641791044775</v>
      </c>
      <c r="S76" s="563" t="s">
        <v>123</v>
      </c>
      <c r="T76" s="564" t="s">
        <v>123</v>
      </c>
      <c r="U76" s="565" t="s">
        <v>123</v>
      </c>
      <c r="V76" s="566" t="s">
        <v>123</v>
      </c>
      <c r="W76" s="567" t="s">
        <v>123</v>
      </c>
      <c r="X76" s="564" t="s">
        <v>123</v>
      </c>
      <c r="Y76" s="568" t="s">
        <v>123</v>
      </c>
      <c r="Z76" s="565" t="s">
        <v>123</v>
      </c>
      <c r="AA76" s="591" t="s">
        <v>123</v>
      </c>
      <c r="AB76" s="569" t="s">
        <v>123</v>
      </c>
      <c r="AC76" s="571" t="s">
        <v>123</v>
      </c>
      <c r="AD76" s="563">
        <v>11615.55</v>
      </c>
      <c r="AE76" s="564">
        <v>301</v>
      </c>
      <c r="AF76" s="565">
        <v>38.589867109634547</v>
      </c>
      <c r="AG76" s="566">
        <v>244</v>
      </c>
      <c r="AH76" s="567">
        <v>0.18936877076411959</v>
      </c>
      <c r="AI76" s="564">
        <v>130</v>
      </c>
      <c r="AJ76" s="568">
        <v>0.46721311475409838</v>
      </c>
      <c r="AK76" s="565">
        <v>89.350384615384613</v>
      </c>
      <c r="AL76" s="591">
        <v>67</v>
      </c>
      <c r="AM76" s="569">
        <v>0.27459016393442626</v>
      </c>
      <c r="AN76" s="571">
        <v>173.36641791044775</v>
      </c>
      <c r="AO76" s="663"/>
      <c r="AP76" s="575"/>
      <c r="AQ76" s="636"/>
      <c r="AR76" s="637"/>
      <c r="AS76" s="633">
        <v>2.88</v>
      </c>
      <c r="AT76" s="579"/>
      <c r="AU76" s="580"/>
    </row>
    <row r="77" spans="1:47" ht="21" hidden="1" customHeight="1">
      <c r="A77" t="s">
        <v>539</v>
      </c>
      <c r="B77" t="s">
        <v>476</v>
      </c>
      <c r="C77" s="759"/>
      <c r="D77" s="561" t="s">
        <v>52</v>
      </c>
      <c r="E77" s="561" t="s">
        <v>145</v>
      </c>
      <c r="F77" s="561" t="s">
        <v>44</v>
      </c>
      <c r="G77" s="561" t="s">
        <v>60</v>
      </c>
      <c r="H77" s="565">
        <v>12039.21</v>
      </c>
      <c r="I77" s="564">
        <v>498</v>
      </c>
      <c r="J77" s="565">
        <v>24.17512048192771</v>
      </c>
      <c r="K77" s="566">
        <v>442</v>
      </c>
      <c r="L77" s="567">
        <v>0.11244979919678715</v>
      </c>
      <c r="M77" s="564">
        <v>187</v>
      </c>
      <c r="N77" s="568">
        <v>0.57692307692307687</v>
      </c>
      <c r="O77" s="565">
        <v>64.380802139037428</v>
      </c>
      <c r="P77" s="564">
        <v>93</v>
      </c>
      <c r="Q77" s="569">
        <v>0.21040723981900453</v>
      </c>
      <c r="R77" s="571">
        <v>129.45387096774192</v>
      </c>
      <c r="S77" s="563" t="s">
        <v>123</v>
      </c>
      <c r="T77" s="564" t="s">
        <v>123</v>
      </c>
      <c r="U77" s="565" t="s">
        <v>123</v>
      </c>
      <c r="V77" s="566" t="s">
        <v>123</v>
      </c>
      <c r="W77" s="567" t="s">
        <v>123</v>
      </c>
      <c r="X77" s="564" t="s">
        <v>123</v>
      </c>
      <c r="Y77" s="568" t="s">
        <v>123</v>
      </c>
      <c r="Z77" s="565" t="s">
        <v>123</v>
      </c>
      <c r="AA77" s="591" t="s">
        <v>123</v>
      </c>
      <c r="AB77" s="569" t="s">
        <v>123</v>
      </c>
      <c r="AC77" s="571" t="s">
        <v>123</v>
      </c>
      <c r="AD77" s="563">
        <v>12039.21</v>
      </c>
      <c r="AE77" s="564">
        <v>498</v>
      </c>
      <c r="AF77" s="565">
        <v>24.17512048192771</v>
      </c>
      <c r="AG77" s="566">
        <v>442</v>
      </c>
      <c r="AH77" s="567">
        <v>0.11244979919678715</v>
      </c>
      <c r="AI77" s="564">
        <v>187</v>
      </c>
      <c r="AJ77" s="568">
        <v>0.57692307692307687</v>
      </c>
      <c r="AK77" s="565">
        <v>64.380802139037428</v>
      </c>
      <c r="AL77" s="591">
        <v>93</v>
      </c>
      <c r="AM77" s="569">
        <v>0.21040723981900453</v>
      </c>
      <c r="AN77" s="571">
        <v>129.45387096774192</v>
      </c>
      <c r="AO77" s="663"/>
      <c r="AP77" s="575"/>
      <c r="AQ77" s="636"/>
      <c r="AR77" s="637"/>
      <c r="AS77" s="633">
        <v>2.88</v>
      </c>
      <c r="AT77" s="579"/>
      <c r="AU77" s="580"/>
    </row>
    <row r="78" spans="1:47" ht="21" hidden="1" customHeight="1">
      <c r="A78" t="s">
        <v>540</v>
      </c>
      <c r="B78" t="s">
        <v>478</v>
      </c>
      <c r="C78" s="760"/>
      <c r="D78" s="584" t="s">
        <v>40</v>
      </c>
      <c r="E78" s="584" t="s">
        <v>57</v>
      </c>
      <c r="F78" s="584" t="s">
        <v>57</v>
      </c>
      <c r="G78" s="584" t="s">
        <v>60</v>
      </c>
      <c r="H78" s="565">
        <v>24490.240000000002</v>
      </c>
      <c r="I78" s="581">
        <v>1808</v>
      </c>
      <c r="J78" s="582">
        <v>13.545486725663718</v>
      </c>
      <c r="K78" s="566">
        <v>1288</v>
      </c>
      <c r="L78" s="567">
        <v>0.28761061946902655</v>
      </c>
      <c r="M78" s="564">
        <v>451</v>
      </c>
      <c r="N78" s="568">
        <v>0.64984472049689446</v>
      </c>
      <c r="O78" s="586">
        <v>54.302084257206211</v>
      </c>
      <c r="P78" s="564">
        <v>259</v>
      </c>
      <c r="Q78" s="569">
        <v>0.20108695652173914</v>
      </c>
      <c r="R78" s="571">
        <v>94.556911196911202</v>
      </c>
      <c r="S78" s="563">
        <v>24490.240000000002</v>
      </c>
      <c r="T78" s="564">
        <v>1808</v>
      </c>
      <c r="U78" s="565">
        <v>13.545486725663718</v>
      </c>
      <c r="V78" s="566">
        <v>1288</v>
      </c>
      <c r="W78" s="567">
        <v>0.28761061946902655</v>
      </c>
      <c r="X78" s="564">
        <v>451</v>
      </c>
      <c r="Y78" s="568">
        <v>0.64984472049689446</v>
      </c>
      <c r="Z78" s="586">
        <v>54.302084257206211</v>
      </c>
      <c r="AA78" s="591">
        <v>259</v>
      </c>
      <c r="AB78" s="569">
        <v>0.20108695652173914</v>
      </c>
      <c r="AC78" s="571">
        <v>94.556911196911202</v>
      </c>
      <c r="AD78" s="563" t="s">
        <v>123</v>
      </c>
      <c r="AE78" s="564" t="s">
        <v>123</v>
      </c>
      <c r="AF78" s="565" t="s">
        <v>123</v>
      </c>
      <c r="AG78" s="566" t="s">
        <v>123</v>
      </c>
      <c r="AH78" s="567" t="s">
        <v>123</v>
      </c>
      <c r="AI78" s="564" t="s">
        <v>123</v>
      </c>
      <c r="AJ78" s="568" t="s">
        <v>123</v>
      </c>
      <c r="AK78" s="586" t="s">
        <v>123</v>
      </c>
      <c r="AL78" s="591" t="s">
        <v>123</v>
      </c>
      <c r="AM78" s="569" t="s">
        <v>123</v>
      </c>
      <c r="AN78" s="571" t="s">
        <v>123</v>
      </c>
      <c r="AO78" s="663"/>
      <c r="AP78" s="587"/>
      <c r="AQ78" s="636"/>
      <c r="AR78" s="641"/>
      <c r="AS78" s="633">
        <v>2.88</v>
      </c>
      <c r="AT78" s="579"/>
      <c r="AU78" s="580"/>
    </row>
    <row r="79" spans="1:47" ht="49.95" customHeight="1">
      <c r="C79" s="758" t="s">
        <v>231</v>
      </c>
      <c r="D79" s="541"/>
      <c r="E79" s="541"/>
      <c r="F79" s="541"/>
      <c r="G79" s="541" t="s">
        <v>139</v>
      </c>
      <c r="H79" s="545">
        <v>65567.489999999991</v>
      </c>
      <c r="I79" s="544">
        <v>2836</v>
      </c>
      <c r="J79" s="545">
        <v>23.11970733427362</v>
      </c>
      <c r="K79" s="546">
        <v>2121</v>
      </c>
      <c r="L79" s="547">
        <v>0.25211565585331452</v>
      </c>
      <c r="M79" s="544">
        <v>1015</v>
      </c>
      <c r="N79" s="548">
        <v>0.52145214521452143</v>
      </c>
      <c r="O79" s="549">
        <v>64.598512315270924</v>
      </c>
      <c r="P79" s="544">
        <v>556</v>
      </c>
      <c r="Q79" s="548">
        <v>0.26214049976426212</v>
      </c>
      <c r="R79" s="551">
        <v>117.92714028776977</v>
      </c>
      <c r="S79" s="543">
        <v>10340.14</v>
      </c>
      <c r="T79" s="544">
        <v>893</v>
      </c>
      <c r="U79" s="545">
        <v>11.579104143337066</v>
      </c>
      <c r="V79" s="546">
        <v>597</v>
      </c>
      <c r="W79" s="547">
        <v>0.3314669652855543</v>
      </c>
      <c r="X79" s="544">
        <v>192</v>
      </c>
      <c r="Y79" s="548">
        <v>0.67839195979899503</v>
      </c>
      <c r="Z79" s="549">
        <v>53.85489583333333</v>
      </c>
      <c r="AA79" s="629">
        <v>106</v>
      </c>
      <c r="AB79" s="548">
        <v>0.17755443886097153</v>
      </c>
      <c r="AC79" s="551">
        <v>97.548490566037728</v>
      </c>
      <c r="AD79" s="552">
        <v>55227.35</v>
      </c>
      <c r="AE79" s="553">
        <v>1943</v>
      </c>
      <c r="AF79" s="549">
        <v>28.423751930005146</v>
      </c>
      <c r="AG79" s="546">
        <v>1524</v>
      </c>
      <c r="AH79" s="547">
        <v>0.21564590838908904</v>
      </c>
      <c r="AI79" s="553">
        <v>823</v>
      </c>
      <c r="AJ79" s="643">
        <v>0.45997375328083989</v>
      </c>
      <c r="AK79" s="549">
        <v>67.104921020656136</v>
      </c>
      <c r="AL79" s="554">
        <v>450</v>
      </c>
      <c r="AM79" s="548">
        <v>0.29527559055118108</v>
      </c>
      <c r="AN79" s="551">
        <v>122.72744444444444</v>
      </c>
      <c r="AO79" s="662">
        <v>0.9103</v>
      </c>
      <c r="AP79" s="555">
        <v>0.69069999999999998</v>
      </c>
      <c r="AQ79" s="631">
        <v>0.7389</v>
      </c>
      <c r="AR79" s="632">
        <v>0.70889999999999997</v>
      </c>
      <c r="AS79" s="633">
        <v>2.78</v>
      </c>
      <c r="AT79" s="583" t="s">
        <v>443</v>
      </c>
      <c r="AU79" s="580"/>
    </row>
    <row r="80" spans="1:47" ht="21" hidden="1" customHeight="1">
      <c r="A80" t="s">
        <v>541</v>
      </c>
      <c r="B80" t="s">
        <v>466</v>
      </c>
      <c r="C80" s="759"/>
      <c r="D80" s="561" t="s">
        <v>40</v>
      </c>
      <c r="E80" s="561" t="s">
        <v>142</v>
      </c>
      <c r="F80" s="561" t="s">
        <v>44</v>
      </c>
      <c r="G80" s="561" t="s">
        <v>42</v>
      </c>
      <c r="H80" s="565">
        <v>10783.22</v>
      </c>
      <c r="I80" s="564">
        <v>482</v>
      </c>
      <c r="J80" s="565">
        <v>22.371825726141079</v>
      </c>
      <c r="K80" s="566">
        <v>337</v>
      </c>
      <c r="L80" s="567">
        <v>0.30082987551867219</v>
      </c>
      <c r="M80" s="564">
        <v>229</v>
      </c>
      <c r="N80" s="568">
        <v>0.32047477744807124</v>
      </c>
      <c r="O80" s="565">
        <v>47.088296943231441</v>
      </c>
      <c r="P80" s="564">
        <v>127</v>
      </c>
      <c r="Q80" s="569">
        <v>0.37685459940652821</v>
      </c>
      <c r="R80" s="571">
        <v>84.907244094488178</v>
      </c>
      <c r="S80" s="563" t="s">
        <v>123</v>
      </c>
      <c r="T80" s="564" t="s">
        <v>123</v>
      </c>
      <c r="U80" s="565" t="s">
        <v>123</v>
      </c>
      <c r="V80" s="566" t="s">
        <v>123</v>
      </c>
      <c r="W80" s="567" t="s">
        <v>123</v>
      </c>
      <c r="X80" s="564" t="s">
        <v>123</v>
      </c>
      <c r="Y80" s="568" t="s">
        <v>123</v>
      </c>
      <c r="Z80" s="565" t="s">
        <v>123</v>
      </c>
      <c r="AA80" s="591" t="s">
        <v>123</v>
      </c>
      <c r="AB80" s="569" t="s">
        <v>123</v>
      </c>
      <c r="AC80" s="571" t="s">
        <v>123</v>
      </c>
      <c r="AD80" s="563">
        <v>10783.22</v>
      </c>
      <c r="AE80" s="564">
        <v>482</v>
      </c>
      <c r="AF80" s="565">
        <v>22.371825726141079</v>
      </c>
      <c r="AG80" s="566">
        <v>337</v>
      </c>
      <c r="AH80" s="567">
        <v>0.30082987551867219</v>
      </c>
      <c r="AI80" s="564">
        <v>229</v>
      </c>
      <c r="AJ80" s="568">
        <v>0.32047477744807124</v>
      </c>
      <c r="AK80" s="565">
        <v>47.088296943231441</v>
      </c>
      <c r="AL80" s="591">
        <v>127</v>
      </c>
      <c r="AM80" s="569">
        <v>0.37685459940652821</v>
      </c>
      <c r="AN80" s="571">
        <v>84.907244094488178</v>
      </c>
      <c r="AO80" s="663"/>
      <c r="AP80" s="575"/>
      <c r="AQ80" s="636"/>
      <c r="AR80" s="637"/>
      <c r="AS80" s="638"/>
      <c r="AT80" s="579"/>
      <c r="AU80" s="580"/>
    </row>
    <row r="81" spans="1:47" ht="21" hidden="1" customHeight="1">
      <c r="A81" t="s">
        <v>542</v>
      </c>
      <c r="B81" t="s">
        <v>468</v>
      </c>
      <c r="C81" s="759"/>
      <c r="D81" s="561" t="s">
        <v>52</v>
      </c>
      <c r="E81" s="561" t="s">
        <v>145</v>
      </c>
      <c r="F81" s="561" t="s">
        <v>44</v>
      </c>
      <c r="G81" s="561" t="s">
        <v>42</v>
      </c>
      <c r="H81" s="565">
        <v>10864.23</v>
      </c>
      <c r="I81" s="564">
        <v>508</v>
      </c>
      <c r="J81" s="565">
        <v>21.386279527559054</v>
      </c>
      <c r="K81" s="566">
        <v>408</v>
      </c>
      <c r="L81" s="567">
        <v>0.19685039370078741</v>
      </c>
      <c r="M81" s="564">
        <v>185</v>
      </c>
      <c r="N81" s="568">
        <v>0.54656862745098034</v>
      </c>
      <c r="O81" s="565">
        <v>58.725567567567566</v>
      </c>
      <c r="P81" s="564">
        <v>101</v>
      </c>
      <c r="Q81" s="569">
        <v>0.24754901960784315</v>
      </c>
      <c r="R81" s="571">
        <v>107.56663366336633</v>
      </c>
      <c r="S81" s="563" t="s">
        <v>123</v>
      </c>
      <c r="T81" s="564" t="s">
        <v>123</v>
      </c>
      <c r="U81" s="565" t="s">
        <v>123</v>
      </c>
      <c r="V81" s="566" t="s">
        <v>123</v>
      </c>
      <c r="W81" s="567" t="s">
        <v>123</v>
      </c>
      <c r="X81" s="564" t="s">
        <v>123</v>
      </c>
      <c r="Y81" s="568" t="s">
        <v>123</v>
      </c>
      <c r="Z81" s="565" t="s">
        <v>123</v>
      </c>
      <c r="AA81" s="591" t="s">
        <v>123</v>
      </c>
      <c r="AB81" s="569" t="s">
        <v>123</v>
      </c>
      <c r="AC81" s="571" t="s">
        <v>123</v>
      </c>
      <c r="AD81" s="563">
        <v>10864.23</v>
      </c>
      <c r="AE81" s="564">
        <v>508</v>
      </c>
      <c r="AF81" s="565">
        <v>21.386279527559054</v>
      </c>
      <c r="AG81" s="566">
        <v>408</v>
      </c>
      <c r="AH81" s="567">
        <v>0.19685039370078741</v>
      </c>
      <c r="AI81" s="564">
        <v>185</v>
      </c>
      <c r="AJ81" s="568">
        <v>0.54656862745098034</v>
      </c>
      <c r="AK81" s="565">
        <v>58.725567567567566</v>
      </c>
      <c r="AL81" s="591">
        <v>101</v>
      </c>
      <c r="AM81" s="569">
        <v>0.24754901960784315</v>
      </c>
      <c r="AN81" s="571">
        <v>107.56663366336633</v>
      </c>
      <c r="AO81" s="663"/>
      <c r="AP81" s="575"/>
      <c r="AQ81" s="636"/>
      <c r="AR81" s="637"/>
      <c r="AS81" s="638"/>
      <c r="AT81" s="579"/>
      <c r="AU81" s="580"/>
    </row>
    <row r="82" spans="1:47" ht="21" hidden="1" customHeight="1">
      <c r="A82" t="s">
        <v>543</v>
      </c>
      <c r="B82" t="s">
        <v>470</v>
      </c>
      <c r="C82" s="759"/>
      <c r="D82" s="561" t="s">
        <v>40</v>
      </c>
      <c r="E82" s="561" t="s">
        <v>57</v>
      </c>
      <c r="F82" s="561" t="s">
        <v>57</v>
      </c>
      <c r="G82" s="561" t="s">
        <v>42</v>
      </c>
      <c r="H82" s="565">
        <v>1883.71</v>
      </c>
      <c r="I82" s="564">
        <v>234</v>
      </c>
      <c r="J82" s="565">
        <v>8.0500427350427355</v>
      </c>
      <c r="K82" s="566">
        <v>112</v>
      </c>
      <c r="L82" s="567">
        <v>0.5213675213675214</v>
      </c>
      <c r="M82" s="564">
        <v>50</v>
      </c>
      <c r="N82" s="568">
        <v>0.5535714285714286</v>
      </c>
      <c r="O82" s="565">
        <v>37.674199999999999</v>
      </c>
      <c r="P82" s="564">
        <v>24</v>
      </c>
      <c r="Q82" s="569">
        <v>0.21428571428571427</v>
      </c>
      <c r="R82" s="571">
        <v>78.487916666666663</v>
      </c>
      <c r="S82" s="563">
        <v>1883.71</v>
      </c>
      <c r="T82" s="564">
        <v>234</v>
      </c>
      <c r="U82" s="565">
        <v>8.0500427350427355</v>
      </c>
      <c r="V82" s="566">
        <v>112</v>
      </c>
      <c r="W82" s="567">
        <v>0.5213675213675214</v>
      </c>
      <c r="X82" s="564">
        <v>50</v>
      </c>
      <c r="Y82" s="568">
        <v>0.5535714285714286</v>
      </c>
      <c r="Z82" s="565">
        <v>37.674199999999999</v>
      </c>
      <c r="AA82" s="591">
        <v>24</v>
      </c>
      <c r="AB82" s="569">
        <v>0.21428571428571427</v>
      </c>
      <c r="AC82" s="571">
        <v>78.487916666666663</v>
      </c>
      <c r="AD82" s="563" t="s">
        <v>123</v>
      </c>
      <c r="AE82" s="564" t="s">
        <v>123</v>
      </c>
      <c r="AF82" s="565" t="s">
        <v>123</v>
      </c>
      <c r="AG82" s="566" t="s">
        <v>123</v>
      </c>
      <c r="AH82" s="567" t="s">
        <v>123</v>
      </c>
      <c r="AI82" s="564" t="s">
        <v>123</v>
      </c>
      <c r="AJ82" s="568" t="s">
        <v>123</v>
      </c>
      <c r="AK82" s="565" t="s">
        <v>123</v>
      </c>
      <c r="AL82" s="591" t="s">
        <v>123</v>
      </c>
      <c r="AM82" s="569" t="s">
        <v>123</v>
      </c>
      <c r="AN82" s="571" t="s">
        <v>123</v>
      </c>
      <c r="AO82" s="663"/>
      <c r="AP82" s="575"/>
      <c r="AQ82" s="636"/>
      <c r="AR82" s="637"/>
      <c r="AS82" s="638"/>
      <c r="AT82" s="579"/>
      <c r="AU82" s="580"/>
    </row>
    <row r="83" spans="1:47" ht="21" hidden="1" customHeight="1">
      <c r="A83" t="s">
        <v>544</v>
      </c>
      <c r="B83" t="s">
        <v>472</v>
      </c>
      <c r="C83" s="759"/>
      <c r="D83" s="561" t="s">
        <v>52</v>
      </c>
      <c r="E83" s="561" t="s">
        <v>121</v>
      </c>
      <c r="F83" s="561" t="s">
        <v>44</v>
      </c>
      <c r="G83" s="561" t="s">
        <v>42</v>
      </c>
      <c r="H83" s="565">
        <v>0</v>
      </c>
      <c r="I83" s="564">
        <v>0</v>
      </c>
      <c r="J83" s="565" t="s">
        <v>123</v>
      </c>
      <c r="K83" s="566">
        <v>0</v>
      </c>
      <c r="L83" s="567" t="s">
        <v>123</v>
      </c>
      <c r="M83" s="564">
        <v>0</v>
      </c>
      <c r="N83" s="568" t="s">
        <v>123</v>
      </c>
      <c r="O83" s="565" t="s">
        <v>123</v>
      </c>
      <c r="P83" s="564">
        <v>0</v>
      </c>
      <c r="Q83" s="569" t="s">
        <v>123</v>
      </c>
      <c r="R83" s="571" t="s">
        <v>123</v>
      </c>
      <c r="S83" s="563" t="s">
        <v>123</v>
      </c>
      <c r="T83" s="564" t="s">
        <v>123</v>
      </c>
      <c r="U83" s="565" t="s">
        <v>123</v>
      </c>
      <c r="V83" s="566" t="s">
        <v>123</v>
      </c>
      <c r="W83" s="567" t="s">
        <v>123</v>
      </c>
      <c r="X83" s="564" t="s">
        <v>123</v>
      </c>
      <c r="Y83" s="568" t="s">
        <v>123</v>
      </c>
      <c r="Z83" s="565" t="s">
        <v>123</v>
      </c>
      <c r="AA83" s="591" t="s">
        <v>123</v>
      </c>
      <c r="AB83" s="569" t="s">
        <v>123</v>
      </c>
      <c r="AC83" s="571" t="s">
        <v>123</v>
      </c>
      <c r="AD83" s="563">
        <v>0</v>
      </c>
      <c r="AE83" s="564">
        <v>0</v>
      </c>
      <c r="AF83" s="565" t="s">
        <v>123</v>
      </c>
      <c r="AG83" s="566">
        <v>0</v>
      </c>
      <c r="AH83" s="567" t="s">
        <v>123</v>
      </c>
      <c r="AI83" s="564">
        <v>0</v>
      </c>
      <c r="AJ83" s="568" t="s">
        <v>123</v>
      </c>
      <c r="AK83" s="565" t="s">
        <v>123</v>
      </c>
      <c r="AL83" s="591">
        <v>0</v>
      </c>
      <c r="AM83" s="569" t="s">
        <v>123</v>
      </c>
      <c r="AN83" s="571" t="s">
        <v>123</v>
      </c>
      <c r="AO83" s="663"/>
      <c r="AP83" s="575"/>
      <c r="AQ83" s="636"/>
      <c r="AR83" s="637"/>
      <c r="AS83" s="638"/>
      <c r="AT83" s="579"/>
      <c r="AU83" s="580"/>
    </row>
    <row r="84" spans="1:47" ht="21" hidden="1" customHeight="1">
      <c r="A84" t="s">
        <v>545</v>
      </c>
      <c r="B84" t="s">
        <v>474</v>
      </c>
      <c r="C84" s="759"/>
      <c r="D84" s="561" t="s">
        <v>40</v>
      </c>
      <c r="E84" s="561" t="s">
        <v>142</v>
      </c>
      <c r="F84" s="561" t="s">
        <v>44</v>
      </c>
      <c r="G84" s="561" t="s">
        <v>60</v>
      </c>
      <c r="H84" s="565">
        <v>18590.47</v>
      </c>
      <c r="I84" s="564">
        <v>402</v>
      </c>
      <c r="J84" s="565">
        <v>46.244950248756219</v>
      </c>
      <c r="K84" s="566">
        <v>294</v>
      </c>
      <c r="L84" s="567">
        <v>0.26865671641791045</v>
      </c>
      <c r="M84" s="564">
        <v>171</v>
      </c>
      <c r="N84" s="568">
        <v>0.41836734693877553</v>
      </c>
      <c r="O84" s="565">
        <v>108.71619883040937</v>
      </c>
      <c r="P84" s="564">
        <v>100</v>
      </c>
      <c r="Q84" s="569">
        <v>0.3401360544217687</v>
      </c>
      <c r="R84" s="571">
        <v>185.90470000000002</v>
      </c>
      <c r="S84" s="563" t="s">
        <v>123</v>
      </c>
      <c r="T84" s="564" t="s">
        <v>123</v>
      </c>
      <c r="U84" s="565" t="s">
        <v>123</v>
      </c>
      <c r="V84" s="566" t="s">
        <v>123</v>
      </c>
      <c r="W84" s="567" t="s">
        <v>123</v>
      </c>
      <c r="X84" s="564" t="s">
        <v>123</v>
      </c>
      <c r="Y84" s="568" t="s">
        <v>123</v>
      </c>
      <c r="Z84" s="565" t="s">
        <v>123</v>
      </c>
      <c r="AA84" s="591" t="s">
        <v>123</v>
      </c>
      <c r="AB84" s="569" t="s">
        <v>123</v>
      </c>
      <c r="AC84" s="571" t="s">
        <v>123</v>
      </c>
      <c r="AD84" s="563">
        <v>18590.47</v>
      </c>
      <c r="AE84" s="564">
        <v>402</v>
      </c>
      <c r="AF84" s="565">
        <v>46.244950248756219</v>
      </c>
      <c r="AG84" s="566">
        <v>294</v>
      </c>
      <c r="AH84" s="567">
        <v>0.26865671641791045</v>
      </c>
      <c r="AI84" s="564">
        <v>171</v>
      </c>
      <c r="AJ84" s="568">
        <v>0.41836734693877553</v>
      </c>
      <c r="AK84" s="565">
        <v>108.71619883040937</v>
      </c>
      <c r="AL84" s="591">
        <v>100</v>
      </c>
      <c r="AM84" s="569">
        <v>0.3401360544217687</v>
      </c>
      <c r="AN84" s="571">
        <v>185.90470000000002</v>
      </c>
      <c r="AO84" s="663"/>
      <c r="AP84" s="575"/>
      <c r="AQ84" s="636"/>
      <c r="AR84" s="637"/>
      <c r="AS84" s="638"/>
      <c r="AT84" s="579"/>
      <c r="AU84" s="580"/>
    </row>
    <row r="85" spans="1:47" ht="21" hidden="1" customHeight="1">
      <c r="A85" t="s">
        <v>546</v>
      </c>
      <c r="B85" t="s">
        <v>476</v>
      </c>
      <c r="C85" s="759"/>
      <c r="D85" s="561" t="s">
        <v>52</v>
      </c>
      <c r="E85" s="561" t="s">
        <v>145</v>
      </c>
      <c r="F85" s="561" t="s">
        <v>44</v>
      </c>
      <c r="G85" s="561" t="s">
        <v>60</v>
      </c>
      <c r="H85" s="565">
        <v>14989.43</v>
      </c>
      <c r="I85" s="564">
        <v>551</v>
      </c>
      <c r="J85" s="565">
        <v>27.204047186932851</v>
      </c>
      <c r="K85" s="566">
        <v>485</v>
      </c>
      <c r="L85" s="567">
        <v>0.11978221415607986</v>
      </c>
      <c r="M85" s="564">
        <v>238</v>
      </c>
      <c r="N85" s="568">
        <v>0.50927835051546388</v>
      </c>
      <c r="O85" s="565">
        <v>62.980798319327732</v>
      </c>
      <c r="P85" s="564">
        <v>122</v>
      </c>
      <c r="Q85" s="569">
        <v>0.25154639175257731</v>
      </c>
      <c r="R85" s="571">
        <v>122.86418032786885</v>
      </c>
      <c r="S85" s="563" t="s">
        <v>123</v>
      </c>
      <c r="T85" s="564" t="s">
        <v>123</v>
      </c>
      <c r="U85" s="565" t="s">
        <v>123</v>
      </c>
      <c r="V85" s="566" t="s">
        <v>123</v>
      </c>
      <c r="W85" s="567" t="s">
        <v>123</v>
      </c>
      <c r="X85" s="564" t="s">
        <v>123</v>
      </c>
      <c r="Y85" s="568" t="s">
        <v>123</v>
      </c>
      <c r="Z85" s="565" t="s">
        <v>123</v>
      </c>
      <c r="AA85" s="591" t="s">
        <v>123</v>
      </c>
      <c r="AB85" s="569" t="s">
        <v>123</v>
      </c>
      <c r="AC85" s="571" t="s">
        <v>123</v>
      </c>
      <c r="AD85" s="563">
        <v>14989.43</v>
      </c>
      <c r="AE85" s="564">
        <v>551</v>
      </c>
      <c r="AF85" s="565">
        <v>27.204047186932851</v>
      </c>
      <c r="AG85" s="566">
        <v>485</v>
      </c>
      <c r="AH85" s="567">
        <v>0.11978221415607986</v>
      </c>
      <c r="AI85" s="564">
        <v>238</v>
      </c>
      <c r="AJ85" s="568">
        <v>0.50927835051546388</v>
      </c>
      <c r="AK85" s="565">
        <v>62.980798319327732</v>
      </c>
      <c r="AL85" s="591">
        <v>122</v>
      </c>
      <c r="AM85" s="569">
        <v>0.25154639175257731</v>
      </c>
      <c r="AN85" s="571">
        <v>122.86418032786885</v>
      </c>
      <c r="AO85" s="663"/>
      <c r="AP85" s="575"/>
      <c r="AQ85" s="636"/>
      <c r="AR85" s="637"/>
      <c r="AS85" s="638"/>
      <c r="AT85" s="579"/>
      <c r="AU85" s="580"/>
    </row>
    <row r="86" spans="1:47" ht="21" hidden="1" customHeight="1">
      <c r="A86" t="s">
        <v>547</v>
      </c>
      <c r="B86" t="s">
        <v>478</v>
      </c>
      <c r="C86" s="760"/>
      <c r="D86" s="584" t="s">
        <v>40</v>
      </c>
      <c r="E86" s="584" t="s">
        <v>57</v>
      </c>
      <c r="F86" s="584" t="s">
        <v>57</v>
      </c>
      <c r="G86" s="584" t="s">
        <v>60</v>
      </c>
      <c r="H86" s="565">
        <v>8456.43</v>
      </c>
      <c r="I86" s="581">
        <v>659</v>
      </c>
      <c r="J86" s="582">
        <v>12.832215477996966</v>
      </c>
      <c r="K86" s="566">
        <v>485</v>
      </c>
      <c r="L86" s="567">
        <v>0.26403641881638845</v>
      </c>
      <c r="M86" s="564">
        <v>142</v>
      </c>
      <c r="N86" s="568">
        <v>0.70721649484536087</v>
      </c>
      <c r="O86" s="586">
        <v>59.552323943661975</v>
      </c>
      <c r="P86" s="564">
        <v>82</v>
      </c>
      <c r="Q86" s="569">
        <v>0.16907216494845362</v>
      </c>
      <c r="R86" s="571">
        <v>103.12719512195122</v>
      </c>
      <c r="S86" s="563">
        <v>8456.43</v>
      </c>
      <c r="T86" s="564">
        <v>659</v>
      </c>
      <c r="U86" s="565">
        <v>12.832215477996966</v>
      </c>
      <c r="V86" s="566">
        <v>485</v>
      </c>
      <c r="W86" s="567">
        <v>0.26403641881638845</v>
      </c>
      <c r="X86" s="564">
        <v>142</v>
      </c>
      <c r="Y86" s="568">
        <v>0.70721649484536087</v>
      </c>
      <c r="Z86" s="586">
        <v>59.552323943661975</v>
      </c>
      <c r="AA86" s="591">
        <v>82</v>
      </c>
      <c r="AB86" s="569">
        <v>0.16907216494845362</v>
      </c>
      <c r="AC86" s="571">
        <v>103.12719512195122</v>
      </c>
      <c r="AD86" s="563" t="s">
        <v>123</v>
      </c>
      <c r="AE86" s="564" t="s">
        <v>123</v>
      </c>
      <c r="AF86" s="565" t="s">
        <v>123</v>
      </c>
      <c r="AG86" s="566" t="s">
        <v>123</v>
      </c>
      <c r="AH86" s="567" t="s">
        <v>123</v>
      </c>
      <c r="AI86" s="564" t="s">
        <v>123</v>
      </c>
      <c r="AJ86" s="568" t="s">
        <v>123</v>
      </c>
      <c r="AK86" s="586" t="s">
        <v>123</v>
      </c>
      <c r="AL86" s="591" t="s">
        <v>123</v>
      </c>
      <c r="AM86" s="569" t="s">
        <v>123</v>
      </c>
      <c r="AN86" s="571" t="s">
        <v>123</v>
      </c>
      <c r="AO86" s="663"/>
      <c r="AP86" s="587"/>
      <c r="AQ86" s="636"/>
      <c r="AR86" s="641"/>
      <c r="AS86" s="638"/>
      <c r="AT86" s="579"/>
      <c r="AU86" s="580"/>
    </row>
    <row r="87" spans="1:47" ht="49.95" customHeight="1">
      <c r="C87" s="758" t="s">
        <v>571</v>
      </c>
      <c r="D87" s="541"/>
      <c r="E87" s="541"/>
      <c r="F87" s="541"/>
      <c r="G87" s="541" t="s">
        <v>139</v>
      </c>
      <c r="H87" s="545">
        <v>598072.37</v>
      </c>
      <c r="I87" s="544">
        <v>18781</v>
      </c>
      <c r="J87" s="545">
        <v>31.844543421543047</v>
      </c>
      <c r="K87" s="546">
        <v>10632</v>
      </c>
      <c r="L87" s="547">
        <v>0.43389595868164632</v>
      </c>
      <c r="M87" s="544">
        <v>4166</v>
      </c>
      <c r="N87" s="548">
        <v>0.6081640331075997</v>
      </c>
      <c r="O87" s="549">
        <v>143.56033845415266</v>
      </c>
      <c r="P87" s="544">
        <v>1731</v>
      </c>
      <c r="Q87" s="548">
        <v>0.16281038374717832</v>
      </c>
      <c r="R87" s="551">
        <v>345.50685730791452</v>
      </c>
      <c r="S87" s="729">
        <v>531582.97000000009</v>
      </c>
      <c r="T87" s="719">
        <v>16610</v>
      </c>
      <c r="U87" s="718">
        <v>32.003791089705004</v>
      </c>
      <c r="V87" s="721">
        <v>8829</v>
      </c>
      <c r="W87" s="722">
        <v>0.46845273931366649</v>
      </c>
      <c r="X87" s="719">
        <v>3251</v>
      </c>
      <c r="Y87" s="723">
        <v>0.63178162872352472</v>
      </c>
      <c r="Z87" s="727">
        <v>163.51367886804064</v>
      </c>
      <c r="AA87" s="719">
        <v>1223</v>
      </c>
      <c r="AB87" s="723">
        <v>0.13852078378072261</v>
      </c>
      <c r="AC87" s="726">
        <v>434.65492232215871</v>
      </c>
      <c r="AD87" s="552">
        <v>66489.399999999994</v>
      </c>
      <c r="AE87" s="553">
        <v>2171</v>
      </c>
      <c r="AF87" s="549">
        <v>30.626163058498385</v>
      </c>
      <c r="AG87" s="546">
        <v>1803</v>
      </c>
      <c r="AH87" s="547">
        <v>0.16950713956701979</v>
      </c>
      <c r="AI87" s="553">
        <v>915</v>
      </c>
      <c r="AJ87" s="548">
        <v>0.49251247920133112</v>
      </c>
      <c r="AK87" s="549">
        <v>72.66601092896174</v>
      </c>
      <c r="AL87" s="554">
        <v>508</v>
      </c>
      <c r="AM87" s="548">
        <v>0.28175263449805882</v>
      </c>
      <c r="AN87" s="551">
        <v>130.88464566929133</v>
      </c>
      <c r="AO87" s="662">
        <v>0.92300000000000004</v>
      </c>
      <c r="AP87" s="555">
        <v>0.70840000000000003</v>
      </c>
      <c r="AQ87" s="631">
        <v>0.76149999999999995</v>
      </c>
      <c r="AR87" s="632">
        <v>0.74619999999999997</v>
      </c>
      <c r="AS87" s="633">
        <v>2.4700000000000002</v>
      </c>
      <c r="AT87" s="583" t="s">
        <v>240</v>
      </c>
      <c r="AU87" s="589" t="s">
        <v>241</v>
      </c>
    </row>
    <row r="88" spans="1:47" ht="21" hidden="1" customHeight="1">
      <c r="A88" t="s">
        <v>466</v>
      </c>
      <c r="B88" t="s">
        <v>466</v>
      </c>
      <c r="C88" s="759"/>
      <c r="D88" s="561" t="s">
        <v>40</v>
      </c>
      <c r="E88" s="561" t="s">
        <v>142</v>
      </c>
      <c r="F88" s="561" t="s">
        <v>44</v>
      </c>
      <c r="G88" s="561" t="s">
        <v>42</v>
      </c>
      <c r="H88" s="565">
        <v>14568.42</v>
      </c>
      <c r="I88" s="564">
        <v>613</v>
      </c>
      <c r="J88" s="565">
        <v>23.765774877650898</v>
      </c>
      <c r="K88" s="566">
        <v>480</v>
      </c>
      <c r="L88" s="567">
        <v>0.2169657422512235</v>
      </c>
      <c r="M88" s="564">
        <v>314</v>
      </c>
      <c r="N88" s="568">
        <v>0.34583333333333333</v>
      </c>
      <c r="O88" s="565">
        <v>46.396242038216563</v>
      </c>
      <c r="P88" s="564">
        <v>168</v>
      </c>
      <c r="Q88" s="569">
        <v>0.35</v>
      </c>
      <c r="R88" s="571">
        <v>86.71678571428572</v>
      </c>
      <c r="S88" s="563" t="s">
        <v>123</v>
      </c>
      <c r="T88" s="564" t="s">
        <v>123</v>
      </c>
      <c r="U88" s="565" t="s">
        <v>123</v>
      </c>
      <c r="V88" s="566" t="s">
        <v>123</v>
      </c>
      <c r="W88" s="567" t="s">
        <v>123</v>
      </c>
      <c r="X88" s="564" t="s">
        <v>123</v>
      </c>
      <c r="Y88" s="568" t="s">
        <v>123</v>
      </c>
      <c r="Z88" s="565" t="s">
        <v>123</v>
      </c>
      <c r="AA88" s="591" t="s">
        <v>123</v>
      </c>
      <c r="AB88" s="569" t="s">
        <v>123</v>
      </c>
      <c r="AC88" s="571" t="s">
        <v>123</v>
      </c>
      <c r="AD88" s="563">
        <v>14568.42</v>
      </c>
      <c r="AE88" s="564">
        <v>613</v>
      </c>
      <c r="AF88" s="565">
        <v>23.765774877650898</v>
      </c>
      <c r="AG88" s="566">
        <v>480</v>
      </c>
      <c r="AH88" s="567">
        <v>0.2169657422512235</v>
      </c>
      <c r="AI88" s="564">
        <v>314</v>
      </c>
      <c r="AJ88" s="568">
        <v>0.34583333333333333</v>
      </c>
      <c r="AK88" s="565">
        <v>46.396242038216563</v>
      </c>
      <c r="AL88" s="574">
        <v>168</v>
      </c>
      <c r="AM88" s="569">
        <v>0.35</v>
      </c>
      <c r="AN88" s="571">
        <v>86.71678571428572</v>
      </c>
      <c r="AO88" s="635"/>
      <c r="AP88" s="569"/>
      <c r="AQ88" s="653"/>
      <c r="AR88" s="637"/>
      <c r="AS88" s="638"/>
      <c r="AT88" s="579"/>
      <c r="AU88" s="580"/>
    </row>
    <row r="89" spans="1:47" ht="21" hidden="1" customHeight="1">
      <c r="A89" t="s">
        <v>468</v>
      </c>
      <c r="B89" t="s">
        <v>468</v>
      </c>
      <c r="C89" s="759"/>
      <c r="D89" s="561" t="s">
        <v>52</v>
      </c>
      <c r="E89" s="561" t="s">
        <v>145</v>
      </c>
      <c r="F89" s="561" t="s">
        <v>44</v>
      </c>
      <c r="G89" s="561" t="s">
        <v>42</v>
      </c>
      <c r="H89" s="565">
        <v>12979.74</v>
      </c>
      <c r="I89" s="564">
        <v>576</v>
      </c>
      <c r="J89" s="565">
        <v>22.534270833333334</v>
      </c>
      <c r="K89" s="566">
        <v>476</v>
      </c>
      <c r="L89" s="567">
        <v>0.1736111111111111</v>
      </c>
      <c r="M89" s="564">
        <v>198</v>
      </c>
      <c r="N89" s="568">
        <v>0.58403361344537819</v>
      </c>
      <c r="O89" s="565">
        <v>65.554242424242418</v>
      </c>
      <c r="P89" s="564">
        <v>89</v>
      </c>
      <c r="Q89" s="569">
        <v>0.18697478991596639</v>
      </c>
      <c r="R89" s="571">
        <v>145.83977528089886</v>
      </c>
      <c r="S89" s="563" t="s">
        <v>123</v>
      </c>
      <c r="T89" s="564" t="s">
        <v>123</v>
      </c>
      <c r="U89" s="565" t="s">
        <v>123</v>
      </c>
      <c r="V89" s="566" t="s">
        <v>123</v>
      </c>
      <c r="W89" s="567" t="s">
        <v>123</v>
      </c>
      <c r="X89" s="564" t="s">
        <v>123</v>
      </c>
      <c r="Y89" s="568" t="s">
        <v>123</v>
      </c>
      <c r="Z89" s="565" t="s">
        <v>123</v>
      </c>
      <c r="AA89" s="591" t="s">
        <v>123</v>
      </c>
      <c r="AB89" s="569" t="s">
        <v>123</v>
      </c>
      <c r="AC89" s="571" t="s">
        <v>123</v>
      </c>
      <c r="AD89" s="563">
        <v>12979.74</v>
      </c>
      <c r="AE89" s="564">
        <v>576</v>
      </c>
      <c r="AF89" s="565">
        <v>22.534270833333334</v>
      </c>
      <c r="AG89" s="566">
        <v>476</v>
      </c>
      <c r="AH89" s="567">
        <v>0.1736111111111111</v>
      </c>
      <c r="AI89" s="564">
        <v>198</v>
      </c>
      <c r="AJ89" s="568">
        <v>0.58403361344537819</v>
      </c>
      <c r="AK89" s="565">
        <v>65.554242424242418</v>
      </c>
      <c r="AL89" s="574">
        <v>89</v>
      </c>
      <c r="AM89" s="569">
        <v>0.18697478991596639</v>
      </c>
      <c r="AN89" s="571">
        <v>145.83977528089886</v>
      </c>
      <c r="AO89" s="635"/>
      <c r="AP89" s="569"/>
      <c r="AQ89" s="653"/>
      <c r="AR89" s="637"/>
      <c r="AS89" s="638"/>
      <c r="AT89" s="579"/>
      <c r="AU89" s="580"/>
    </row>
    <row r="90" spans="1:47" ht="21" hidden="1" customHeight="1">
      <c r="A90" t="s">
        <v>470</v>
      </c>
      <c r="B90" t="s">
        <v>470</v>
      </c>
      <c r="C90" s="759"/>
      <c r="D90" s="561" t="s">
        <v>40</v>
      </c>
      <c r="E90" s="561" t="s">
        <v>57</v>
      </c>
      <c r="F90" s="561" t="s">
        <v>57</v>
      </c>
      <c r="G90" s="561" t="s">
        <v>42</v>
      </c>
      <c r="H90" s="565">
        <v>294.18</v>
      </c>
      <c r="I90" s="564">
        <v>39</v>
      </c>
      <c r="J90" s="565">
        <v>7.5430769230769235</v>
      </c>
      <c r="K90" s="566">
        <v>40</v>
      </c>
      <c r="L90" s="567">
        <v>-2.564102564102564E-2</v>
      </c>
      <c r="M90" s="564">
        <v>19</v>
      </c>
      <c r="N90" s="568">
        <v>0.52500000000000002</v>
      </c>
      <c r="O90" s="565">
        <v>15.483157894736843</v>
      </c>
      <c r="P90" s="564">
        <v>8</v>
      </c>
      <c r="Q90" s="569">
        <v>0.2</v>
      </c>
      <c r="R90" s="571">
        <v>36.772500000000001</v>
      </c>
      <c r="S90" s="563">
        <v>294.18</v>
      </c>
      <c r="T90" s="564">
        <v>39</v>
      </c>
      <c r="U90" s="565">
        <v>7.5430769230769235</v>
      </c>
      <c r="V90" s="566">
        <v>40</v>
      </c>
      <c r="W90" s="567">
        <v>-2.564102564102564E-2</v>
      </c>
      <c r="X90" s="564">
        <v>19</v>
      </c>
      <c r="Y90" s="568">
        <v>0.52500000000000002</v>
      </c>
      <c r="Z90" s="565">
        <v>15.483157894736843</v>
      </c>
      <c r="AA90" s="591">
        <v>8</v>
      </c>
      <c r="AB90" s="569">
        <v>0.2</v>
      </c>
      <c r="AC90" s="571">
        <v>36.772500000000001</v>
      </c>
      <c r="AD90" s="563" t="s">
        <v>123</v>
      </c>
      <c r="AE90" s="564" t="s">
        <v>123</v>
      </c>
      <c r="AF90" s="565" t="s">
        <v>123</v>
      </c>
      <c r="AG90" s="566" t="s">
        <v>123</v>
      </c>
      <c r="AH90" s="567" t="s">
        <v>123</v>
      </c>
      <c r="AI90" s="564" t="s">
        <v>123</v>
      </c>
      <c r="AJ90" s="568" t="s">
        <v>123</v>
      </c>
      <c r="AK90" s="565" t="s">
        <v>123</v>
      </c>
      <c r="AL90" s="574" t="s">
        <v>123</v>
      </c>
      <c r="AM90" s="569" t="s">
        <v>123</v>
      </c>
      <c r="AN90" s="571" t="s">
        <v>123</v>
      </c>
      <c r="AO90" s="635"/>
      <c r="AP90" s="569"/>
      <c r="AQ90" s="653"/>
      <c r="AR90" s="637"/>
      <c r="AS90" s="638"/>
      <c r="AT90" s="579"/>
      <c r="AU90" s="580"/>
    </row>
    <row r="91" spans="1:47" ht="21" hidden="1" customHeight="1">
      <c r="A91" t="s">
        <v>472</v>
      </c>
      <c r="B91" t="s">
        <v>472</v>
      </c>
      <c r="C91" s="759"/>
      <c r="D91" s="561" t="s">
        <v>52</v>
      </c>
      <c r="E91" s="561" t="s">
        <v>121</v>
      </c>
      <c r="F91" s="561" t="s">
        <v>44</v>
      </c>
      <c r="G91" s="561" t="s">
        <v>42</v>
      </c>
      <c r="H91" s="565">
        <v>0</v>
      </c>
      <c r="I91" s="564">
        <v>0</v>
      </c>
      <c r="J91" s="565" t="s">
        <v>123</v>
      </c>
      <c r="K91" s="566">
        <v>0</v>
      </c>
      <c r="L91" s="567" t="s">
        <v>123</v>
      </c>
      <c r="M91" s="564">
        <v>0</v>
      </c>
      <c r="N91" s="568" t="s">
        <v>123</v>
      </c>
      <c r="O91" s="565" t="s">
        <v>123</v>
      </c>
      <c r="P91" s="564">
        <v>0</v>
      </c>
      <c r="Q91" s="569" t="s">
        <v>123</v>
      </c>
      <c r="R91" s="571" t="s">
        <v>123</v>
      </c>
      <c r="S91" s="563" t="s">
        <v>123</v>
      </c>
      <c r="T91" s="564" t="s">
        <v>123</v>
      </c>
      <c r="U91" s="565" t="s">
        <v>123</v>
      </c>
      <c r="V91" s="566" t="s">
        <v>123</v>
      </c>
      <c r="W91" s="567" t="s">
        <v>123</v>
      </c>
      <c r="X91" s="564" t="s">
        <v>123</v>
      </c>
      <c r="Y91" s="568" t="s">
        <v>123</v>
      </c>
      <c r="Z91" s="565" t="s">
        <v>123</v>
      </c>
      <c r="AA91" s="591" t="s">
        <v>123</v>
      </c>
      <c r="AB91" s="569" t="s">
        <v>123</v>
      </c>
      <c r="AC91" s="571" t="s">
        <v>123</v>
      </c>
      <c r="AD91" s="563">
        <v>0</v>
      </c>
      <c r="AE91" s="564">
        <v>0</v>
      </c>
      <c r="AF91" s="565" t="s">
        <v>123</v>
      </c>
      <c r="AG91" s="566">
        <v>0</v>
      </c>
      <c r="AH91" s="567" t="s">
        <v>123</v>
      </c>
      <c r="AI91" s="564">
        <v>0</v>
      </c>
      <c r="AJ91" s="568" t="s">
        <v>123</v>
      </c>
      <c r="AK91" s="565" t="s">
        <v>123</v>
      </c>
      <c r="AL91" s="574">
        <v>0</v>
      </c>
      <c r="AM91" s="569" t="s">
        <v>123</v>
      </c>
      <c r="AN91" s="571" t="s">
        <v>123</v>
      </c>
      <c r="AO91" s="635"/>
      <c r="AP91" s="569"/>
      <c r="AQ91" s="653"/>
      <c r="AR91" s="637"/>
      <c r="AS91" s="638"/>
      <c r="AT91" s="579"/>
      <c r="AU91" s="580"/>
    </row>
    <row r="92" spans="1:47" ht="21" hidden="1" customHeight="1">
      <c r="A92" t="s">
        <v>474</v>
      </c>
      <c r="B92" t="s">
        <v>474</v>
      </c>
      <c r="C92" s="759"/>
      <c r="D92" s="561" t="s">
        <v>40</v>
      </c>
      <c r="E92" s="561" t="s">
        <v>142</v>
      </c>
      <c r="F92" s="561" t="s">
        <v>44</v>
      </c>
      <c r="G92" s="561" t="s">
        <v>60</v>
      </c>
      <c r="H92" s="565">
        <v>22573.279999999999</v>
      </c>
      <c r="I92" s="564">
        <v>418</v>
      </c>
      <c r="J92" s="565">
        <v>54.003062200956933</v>
      </c>
      <c r="K92" s="566">
        <v>335</v>
      </c>
      <c r="L92" s="567">
        <v>0.19856459330143542</v>
      </c>
      <c r="M92" s="564">
        <v>183</v>
      </c>
      <c r="N92" s="568">
        <v>0.45373134328358211</v>
      </c>
      <c r="O92" s="565">
        <v>123.35125683060109</v>
      </c>
      <c r="P92" s="564">
        <v>120</v>
      </c>
      <c r="Q92" s="569">
        <v>0.35820895522388058</v>
      </c>
      <c r="R92" s="571">
        <v>188.11066666666665</v>
      </c>
      <c r="S92" s="563" t="s">
        <v>123</v>
      </c>
      <c r="T92" s="564" t="s">
        <v>123</v>
      </c>
      <c r="U92" s="565" t="s">
        <v>123</v>
      </c>
      <c r="V92" s="566" t="s">
        <v>123</v>
      </c>
      <c r="W92" s="567" t="s">
        <v>123</v>
      </c>
      <c r="X92" s="564" t="s">
        <v>123</v>
      </c>
      <c r="Y92" s="568" t="s">
        <v>123</v>
      </c>
      <c r="Z92" s="565" t="s">
        <v>123</v>
      </c>
      <c r="AA92" s="591" t="s">
        <v>123</v>
      </c>
      <c r="AB92" s="569" t="s">
        <v>123</v>
      </c>
      <c r="AC92" s="571" t="s">
        <v>123</v>
      </c>
      <c r="AD92" s="563">
        <v>22573.279999999999</v>
      </c>
      <c r="AE92" s="564">
        <v>418</v>
      </c>
      <c r="AF92" s="565">
        <v>54.003062200956933</v>
      </c>
      <c r="AG92" s="566">
        <v>335</v>
      </c>
      <c r="AH92" s="567">
        <v>0.19856459330143542</v>
      </c>
      <c r="AI92" s="564">
        <v>183</v>
      </c>
      <c r="AJ92" s="568">
        <v>0.45373134328358211</v>
      </c>
      <c r="AK92" s="565">
        <v>123.35125683060109</v>
      </c>
      <c r="AL92" s="574">
        <v>120</v>
      </c>
      <c r="AM92" s="569">
        <v>0.35820895522388058</v>
      </c>
      <c r="AN92" s="571">
        <v>188.11066666666665</v>
      </c>
      <c r="AO92" s="635"/>
      <c r="AP92" s="569"/>
      <c r="AQ92" s="653"/>
      <c r="AR92" s="637"/>
      <c r="AS92" s="638"/>
      <c r="AT92" s="579"/>
      <c r="AU92" s="580"/>
    </row>
    <row r="93" spans="1:47" ht="21" hidden="1" customHeight="1">
      <c r="A93" t="s">
        <v>476</v>
      </c>
      <c r="B93" t="s">
        <v>476</v>
      </c>
      <c r="C93" s="759"/>
      <c r="D93" s="561" t="s">
        <v>52</v>
      </c>
      <c r="E93" s="561" t="s">
        <v>145</v>
      </c>
      <c r="F93" s="561" t="s">
        <v>44</v>
      </c>
      <c r="G93" s="561" t="s">
        <v>60</v>
      </c>
      <c r="H93" s="565">
        <v>16367.96</v>
      </c>
      <c r="I93" s="564">
        <v>564</v>
      </c>
      <c r="J93" s="565">
        <v>29.021205673758864</v>
      </c>
      <c r="K93" s="566">
        <v>512</v>
      </c>
      <c r="L93" s="567">
        <v>9.2198581560283682E-2</v>
      </c>
      <c r="M93" s="564">
        <v>220</v>
      </c>
      <c r="N93" s="568">
        <v>0.5703125</v>
      </c>
      <c r="O93" s="565">
        <v>74.399818181818176</v>
      </c>
      <c r="P93" s="564">
        <v>131</v>
      </c>
      <c r="Q93" s="569">
        <v>0.255859375</v>
      </c>
      <c r="R93" s="571">
        <v>124.94625954198473</v>
      </c>
      <c r="S93" s="563" t="s">
        <v>123</v>
      </c>
      <c r="T93" s="564" t="s">
        <v>123</v>
      </c>
      <c r="U93" s="565" t="s">
        <v>123</v>
      </c>
      <c r="V93" s="566" t="s">
        <v>123</v>
      </c>
      <c r="W93" s="567" t="s">
        <v>123</v>
      </c>
      <c r="X93" s="564" t="s">
        <v>123</v>
      </c>
      <c r="Y93" s="568" t="s">
        <v>123</v>
      </c>
      <c r="Z93" s="565" t="s">
        <v>123</v>
      </c>
      <c r="AA93" s="591" t="s">
        <v>123</v>
      </c>
      <c r="AB93" s="569" t="s">
        <v>123</v>
      </c>
      <c r="AC93" s="571" t="s">
        <v>123</v>
      </c>
      <c r="AD93" s="563">
        <v>16367.96</v>
      </c>
      <c r="AE93" s="564">
        <v>564</v>
      </c>
      <c r="AF93" s="565">
        <v>29.021205673758864</v>
      </c>
      <c r="AG93" s="566">
        <v>512</v>
      </c>
      <c r="AH93" s="567">
        <v>9.2198581560283682E-2</v>
      </c>
      <c r="AI93" s="564">
        <v>220</v>
      </c>
      <c r="AJ93" s="568">
        <v>0.5703125</v>
      </c>
      <c r="AK93" s="565">
        <v>74.399818181818176</v>
      </c>
      <c r="AL93" s="574">
        <v>131</v>
      </c>
      <c r="AM93" s="569">
        <v>0.255859375</v>
      </c>
      <c r="AN93" s="571">
        <v>124.94625954198473</v>
      </c>
      <c r="AO93" s="635"/>
      <c r="AP93" s="569"/>
      <c r="AQ93" s="653"/>
      <c r="AR93" s="637"/>
      <c r="AS93" s="638"/>
      <c r="AT93" s="579"/>
      <c r="AU93" s="580"/>
    </row>
    <row r="94" spans="1:47" ht="21" hidden="1" customHeight="1">
      <c r="A94" t="s">
        <v>478</v>
      </c>
      <c r="B94" t="s">
        <v>478</v>
      </c>
      <c r="C94" s="760"/>
      <c r="D94" s="584" t="s">
        <v>40</v>
      </c>
      <c r="E94" s="584" t="s">
        <v>57</v>
      </c>
      <c r="F94" s="584" t="s">
        <v>57</v>
      </c>
      <c r="G94" s="584" t="s">
        <v>60</v>
      </c>
      <c r="H94" s="565">
        <v>531288.79</v>
      </c>
      <c r="I94" s="581">
        <v>16571</v>
      </c>
      <c r="J94" s="582">
        <v>32.061359604127695</v>
      </c>
      <c r="K94" s="566">
        <v>8789</v>
      </c>
      <c r="L94" s="567">
        <v>0.4696155935067286</v>
      </c>
      <c r="M94" s="564">
        <v>3232</v>
      </c>
      <c r="N94" s="568">
        <v>0.63226760723631814</v>
      </c>
      <c r="O94" s="586">
        <v>164.38390779702971</v>
      </c>
      <c r="P94" s="564">
        <v>1215</v>
      </c>
      <c r="Q94" s="569">
        <v>0.13824098304699056</v>
      </c>
      <c r="R94" s="571">
        <v>437.27472427983543</v>
      </c>
      <c r="S94" s="563">
        <v>531288.79</v>
      </c>
      <c r="T94" s="564">
        <v>16571</v>
      </c>
      <c r="U94" s="565">
        <v>32.061359604127695</v>
      </c>
      <c r="V94" s="566">
        <v>8789</v>
      </c>
      <c r="W94" s="567">
        <v>0.4696155935067286</v>
      </c>
      <c r="X94" s="564">
        <v>3232</v>
      </c>
      <c r="Y94" s="568">
        <v>0.63226760723631814</v>
      </c>
      <c r="Z94" s="586">
        <v>164.38390779702971</v>
      </c>
      <c r="AA94" s="591">
        <v>1215</v>
      </c>
      <c r="AB94" s="569">
        <v>0.13824098304699056</v>
      </c>
      <c r="AC94" s="571">
        <v>437.27472427983543</v>
      </c>
      <c r="AD94" s="563" t="s">
        <v>123</v>
      </c>
      <c r="AE94" s="564" t="s">
        <v>123</v>
      </c>
      <c r="AF94" s="565" t="s">
        <v>123</v>
      </c>
      <c r="AG94" s="566" t="s">
        <v>123</v>
      </c>
      <c r="AH94" s="567" t="s">
        <v>123</v>
      </c>
      <c r="AI94" s="564" t="s">
        <v>123</v>
      </c>
      <c r="AJ94" s="568" t="s">
        <v>123</v>
      </c>
      <c r="AK94" s="586" t="s">
        <v>123</v>
      </c>
      <c r="AL94" s="574" t="s">
        <v>123</v>
      </c>
      <c r="AM94" s="569" t="s">
        <v>123</v>
      </c>
      <c r="AN94" s="571" t="s">
        <v>123</v>
      </c>
      <c r="AO94" s="635"/>
      <c r="AP94" s="654"/>
      <c r="AQ94" s="653"/>
      <c r="AR94" s="641"/>
      <c r="AS94" s="638"/>
      <c r="AT94" s="579"/>
      <c r="AU94" s="580"/>
    </row>
    <row r="95" spans="1:47" ht="49.95" customHeight="1">
      <c r="C95" s="758" t="s">
        <v>242</v>
      </c>
      <c r="D95" s="541"/>
      <c r="E95" s="541"/>
      <c r="F95" s="541"/>
      <c r="G95" s="541" t="s">
        <v>139</v>
      </c>
      <c r="H95" s="545">
        <v>65189.700000000004</v>
      </c>
      <c r="I95" s="544">
        <v>3053</v>
      </c>
      <c r="J95" s="545">
        <v>21.352669505404521</v>
      </c>
      <c r="K95" s="546">
        <v>2157</v>
      </c>
      <c r="L95" s="547">
        <v>0.29348182115951521</v>
      </c>
      <c r="M95" s="544">
        <v>1000</v>
      </c>
      <c r="N95" s="548">
        <v>0.5363931386184515</v>
      </c>
      <c r="O95" s="549">
        <v>65.189700000000002</v>
      </c>
      <c r="P95" s="629">
        <v>465</v>
      </c>
      <c r="Q95" s="548">
        <v>0.21557719054242003</v>
      </c>
      <c r="R95" s="551">
        <v>140.19290322580648</v>
      </c>
      <c r="S95" s="543">
        <v>7844.21</v>
      </c>
      <c r="T95" s="544">
        <v>1251</v>
      </c>
      <c r="U95" s="545">
        <v>6.2703517186250997</v>
      </c>
      <c r="V95" s="546">
        <v>612</v>
      </c>
      <c r="W95" s="547">
        <v>0.51079136690647486</v>
      </c>
      <c r="X95" s="544">
        <v>222</v>
      </c>
      <c r="Y95" s="548">
        <v>0.63725490196078427</v>
      </c>
      <c r="Z95" s="549">
        <v>35.334279279279279</v>
      </c>
      <c r="AA95" s="629">
        <v>85</v>
      </c>
      <c r="AB95" s="548">
        <v>0.1388888888888889</v>
      </c>
      <c r="AC95" s="551">
        <v>92.284823529411767</v>
      </c>
      <c r="AD95" s="552">
        <v>57345.490000000005</v>
      </c>
      <c r="AE95" s="553">
        <v>1802</v>
      </c>
      <c r="AF95" s="549">
        <v>31.823246392896785</v>
      </c>
      <c r="AG95" s="546">
        <v>1545</v>
      </c>
      <c r="AH95" s="547">
        <v>0.14261931187569368</v>
      </c>
      <c r="AI95" s="553">
        <v>778</v>
      </c>
      <c r="AJ95" s="548">
        <v>0.49644012944983817</v>
      </c>
      <c r="AK95" s="549">
        <v>73.708856041131114</v>
      </c>
      <c r="AL95" s="554">
        <v>380</v>
      </c>
      <c r="AM95" s="548">
        <v>0.2459546925566343</v>
      </c>
      <c r="AN95" s="551">
        <v>150.90918421052632</v>
      </c>
      <c r="AO95" s="630">
        <v>0.92279999999999995</v>
      </c>
      <c r="AP95" s="555">
        <v>0.70830000000000004</v>
      </c>
      <c r="AQ95" s="631">
        <v>0.75680000000000003</v>
      </c>
      <c r="AR95" s="632">
        <v>0.73740000000000006</v>
      </c>
      <c r="AS95" s="633">
        <v>2.98</v>
      </c>
      <c r="AT95" s="583"/>
      <c r="AU95" s="580"/>
    </row>
    <row r="96" spans="1:47" ht="21" hidden="1" customHeight="1">
      <c r="A96" t="s">
        <v>548</v>
      </c>
      <c r="B96" t="s">
        <v>466</v>
      </c>
      <c r="C96" s="759"/>
      <c r="D96" s="561" t="s">
        <v>40</v>
      </c>
      <c r="E96" s="561" t="s">
        <v>142</v>
      </c>
      <c r="F96" s="561" t="s">
        <v>44</v>
      </c>
      <c r="G96" s="561" t="s">
        <v>42</v>
      </c>
      <c r="H96" s="565">
        <v>9001.34</v>
      </c>
      <c r="I96" s="564">
        <v>379</v>
      </c>
      <c r="J96" s="565">
        <v>23.750237467018469</v>
      </c>
      <c r="K96" s="566">
        <v>312</v>
      </c>
      <c r="L96" s="567">
        <v>0.17678100263852242</v>
      </c>
      <c r="M96" s="564">
        <v>196</v>
      </c>
      <c r="N96" s="568">
        <v>0.37179487179487181</v>
      </c>
      <c r="O96" s="565">
        <v>45.925204081632657</v>
      </c>
      <c r="P96" s="564">
        <v>84</v>
      </c>
      <c r="Q96" s="569">
        <v>0.26923076923076922</v>
      </c>
      <c r="R96" s="571">
        <v>107.15880952380952</v>
      </c>
      <c r="S96" s="563" t="s">
        <v>123</v>
      </c>
      <c r="T96" s="564" t="s">
        <v>123</v>
      </c>
      <c r="U96" s="565" t="s">
        <v>123</v>
      </c>
      <c r="V96" s="566" t="s">
        <v>123</v>
      </c>
      <c r="W96" s="567" t="s">
        <v>123</v>
      </c>
      <c r="X96" s="564" t="s">
        <v>123</v>
      </c>
      <c r="Y96" s="568" t="s">
        <v>123</v>
      </c>
      <c r="Z96" s="565" t="s">
        <v>123</v>
      </c>
      <c r="AA96" s="591" t="s">
        <v>123</v>
      </c>
      <c r="AB96" s="569" t="s">
        <v>123</v>
      </c>
      <c r="AC96" s="571" t="s">
        <v>123</v>
      </c>
      <c r="AD96" s="563">
        <v>9001.34</v>
      </c>
      <c r="AE96" s="564">
        <v>379</v>
      </c>
      <c r="AF96" s="565">
        <v>23.750237467018469</v>
      </c>
      <c r="AG96" s="566">
        <v>312</v>
      </c>
      <c r="AH96" s="567">
        <v>0.17678100263852242</v>
      </c>
      <c r="AI96" s="564">
        <v>196</v>
      </c>
      <c r="AJ96" s="568">
        <v>0.37179487179487181</v>
      </c>
      <c r="AK96" s="565">
        <v>45.925204081632657</v>
      </c>
      <c r="AL96" s="574">
        <v>84</v>
      </c>
      <c r="AM96" s="569">
        <v>0.26923076923076922</v>
      </c>
      <c r="AN96" s="571">
        <v>107.15880952380952</v>
      </c>
      <c r="AO96" s="635"/>
      <c r="AP96" s="569"/>
      <c r="AQ96" s="653"/>
      <c r="AR96" s="637"/>
      <c r="AS96" s="638"/>
      <c r="AT96" s="579"/>
      <c r="AU96" s="580"/>
    </row>
    <row r="97" spans="1:47" ht="21" hidden="1" customHeight="1">
      <c r="A97" t="s">
        <v>549</v>
      </c>
      <c r="B97" t="s">
        <v>468</v>
      </c>
      <c r="C97" s="759"/>
      <c r="D97" s="561" t="s">
        <v>52</v>
      </c>
      <c r="E97" s="561" t="s">
        <v>145</v>
      </c>
      <c r="F97" s="561" t="s">
        <v>44</v>
      </c>
      <c r="G97" s="561" t="s">
        <v>42</v>
      </c>
      <c r="H97" s="565">
        <v>8617.67</v>
      </c>
      <c r="I97" s="564">
        <v>435</v>
      </c>
      <c r="J97" s="565">
        <v>19.81073563218391</v>
      </c>
      <c r="K97" s="566">
        <v>365</v>
      </c>
      <c r="L97" s="567">
        <v>0.16091954022988506</v>
      </c>
      <c r="M97" s="564">
        <v>178</v>
      </c>
      <c r="N97" s="568">
        <v>0.51232876712328768</v>
      </c>
      <c r="O97" s="565">
        <v>48.413876404494381</v>
      </c>
      <c r="P97" s="564">
        <v>76</v>
      </c>
      <c r="Q97" s="569">
        <v>0.20821917808219179</v>
      </c>
      <c r="R97" s="571">
        <v>113.39039473684211</v>
      </c>
      <c r="S97" s="563" t="s">
        <v>123</v>
      </c>
      <c r="T97" s="564" t="s">
        <v>123</v>
      </c>
      <c r="U97" s="565" t="s">
        <v>123</v>
      </c>
      <c r="V97" s="566" t="s">
        <v>123</v>
      </c>
      <c r="W97" s="567" t="s">
        <v>123</v>
      </c>
      <c r="X97" s="564" t="s">
        <v>123</v>
      </c>
      <c r="Y97" s="568" t="s">
        <v>123</v>
      </c>
      <c r="Z97" s="565" t="s">
        <v>123</v>
      </c>
      <c r="AA97" s="591" t="s">
        <v>123</v>
      </c>
      <c r="AB97" s="569" t="s">
        <v>123</v>
      </c>
      <c r="AC97" s="571" t="s">
        <v>123</v>
      </c>
      <c r="AD97" s="563">
        <v>8617.67</v>
      </c>
      <c r="AE97" s="564">
        <v>435</v>
      </c>
      <c r="AF97" s="565">
        <v>19.81073563218391</v>
      </c>
      <c r="AG97" s="566">
        <v>365</v>
      </c>
      <c r="AH97" s="567">
        <v>0.16091954022988506</v>
      </c>
      <c r="AI97" s="564">
        <v>178</v>
      </c>
      <c r="AJ97" s="568">
        <v>0.51232876712328768</v>
      </c>
      <c r="AK97" s="565">
        <v>48.413876404494381</v>
      </c>
      <c r="AL97" s="574">
        <v>76</v>
      </c>
      <c r="AM97" s="569">
        <v>0.20821917808219179</v>
      </c>
      <c r="AN97" s="571">
        <v>113.39039473684211</v>
      </c>
      <c r="AO97" s="635"/>
      <c r="AP97" s="569"/>
      <c r="AQ97" s="653"/>
      <c r="AR97" s="637"/>
      <c r="AS97" s="638"/>
      <c r="AT97" s="579"/>
      <c r="AU97" s="580"/>
    </row>
    <row r="98" spans="1:47" ht="21" hidden="1" customHeight="1">
      <c r="A98" t="s">
        <v>550</v>
      </c>
      <c r="B98" t="s">
        <v>470</v>
      </c>
      <c r="C98" s="759"/>
      <c r="D98" s="561" t="s">
        <v>40</v>
      </c>
      <c r="E98" s="561" t="s">
        <v>57</v>
      </c>
      <c r="F98" s="561" t="s">
        <v>57</v>
      </c>
      <c r="G98" s="561" t="s">
        <v>42</v>
      </c>
      <c r="H98" s="565">
        <v>0</v>
      </c>
      <c r="I98" s="564">
        <v>0</v>
      </c>
      <c r="J98" s="565" t="s">
        <v>123</v>
      </c>
      <c r="K98" s="566">
        <v>4</v>
      </c>
      <c r="L98" s="567" t="s">
        <v>123</v>
      </c>
      <c r="M98" s="564">
        <v>2</v>
      </c>
      <c r="N98" s="568">
        <v>0.5</v>
      </c>
      <c r="O98" s="565">
        <v>0</v>
      </c>
      <c r="P98" s="564">
        <v>0</v>
      </c>
      <c r="Q98" s="569">
        <v>0</v>
      </c>
      <c r="R98" s="571" t="s">
        <v>123</v>
      </c>
      <c r="S98" s="563">
        <v>0</v>
      </c>
      <c r="T98" s="564">
        <v>0</v>
      </c>
      <c r="U98" s="565" t="s">
        <v>123</v>
      </c>
      <c r="V98" s="566">
        <v>4</v>
      </c>
      <c r="W98" s="567" t="s">
        <v>123</v>
      </c>
      <c r="X98" s="564">
        <v>2</v>
      </c>
      <c r="Y98" s="568">
        <v>0.5</v>
      </c>
      <c r="Z98" s="565">
        <v>0</v>
      </c>
      <c r="AA98" s="591">
        <v>0</v>
      </c>
      <c r="AB98" s="569">
        <v>0</v>
      </c>
      <c r="AC98" s="571" t="s">
        <v>123</v>
      </c>
      <c r="AD98" s="563" t="s">
        <v>123</v>
      </c>
      <c r="AE98" s="564" t="s">
        <v>123</v>
      </c>
      <c r="AF98" s="565" t="s">
        <v>123</v>
      </c>
      <c r="AG98" s="566" t="s">
        <v>123</v>
      </c>
      <c r="AH98" s="567" t="s">
        <v>123</v>
      </c>
      <c r="AI98" s="564" t="s">
        <v>123</v>
      </c>
      <c r="AJ98" s="568" t="s">
        <v>123</v>
      </c>
      <c r="AK98" s="565" t="s">
        <v>123</v>
      </c>
      <c r="AL98" s="574" t="s">
        <v>123</v>
      </c>
      <c r="AM98" s="569" t="s">
        <v>123</v>
      </c>
      <c r="AN98" s="571" t="s">
        <v>123</v>
      </c>
      <c r="AO98" s="635"/>
      <c r="AP98" s="569"/>
      <c r="AQ98" s="653"/>
      <c r="AR98" s="637"/>
      <c r="AS98" s="638"/>
      <c r="AT98" s="579"/>
      <c r="AU98" s="580"/>
    </row>
    <row r="99" spans="1:47" ht="21" hidden="1" customHeight="1">
      <c r="A99" t="s">
        <v>551</v>
      </c>
      <c r="B99" t="s">
        <v>472</v>
      </c>
      <c r="C99" s="759"/>
      <c r="D99" s="561" t="s">
        <v>52</v>
      </c>
      <c r="E99" s="561" t="s">
        <v>121</v>
      </c>
      <c r="F99" s="561" t="s">
        <v>44</v>
      </c>
      <c r="G99" s="561" t="s">
        <v>42</v>
      </c>
      <c r="H99" s="565">
        <v>0</v>
      </c>
      <c r="I99" s="564">
        <v>0</v>
      </c>
      <c r="J99" s="565" t="s">
        <v>123</v>
      </c>
      <c r="K99" s="566">
        <v>0</v>
      </c>
      <c r="L99" s="567" t="s">
        <v>123</v>
      </c>
      <c r="M99" s="564">
        <v>0</v>
      </c>
      <c r="N99" s="568" t="s">
        <v>123</v>
      </c>
      <c r="O99" s="565" t="s">
        <v>123</v>
      </c>
      <c r="P99" s="564">
        <v>0</v>
      </c>
      <c r="Q99" s="569" t="s">
        <v>123</v>
      </c>
      <c r="R99" s="571" t="s">
        <v>123</v>
      </c>
      <c r="S99" s="563" t="s">
        <v>123</v>
      </c>
      <c r="T99" s="564" t="s">
        <v>123</v>
      </c>
      <c r="U99" s="565" t="s">
        <v>123</v>
      </c>
      <c r="V99" s="566" t="s">
        <v>123</v>
      </c>
      <c r="W99" s="567" t="s">
        <v>123</v>
      </c>
      <c r="X99" s="564" t="s">
        <v>123</v>
      </c>
      <c r="Y99" s="568" t="s">
        <v>123</v>
      </c>
      <c r="Z99" s="565" t="s">
        <v>123</v>
      </c>
      <c r="AA99" s="591" t="s">
        <v>123</v>
      </c>
      <c r="AB99" s="569" t="s">
        <v>123</v>
      </c>
      <c r="AC99" s="571" t="s">
        <v>123</v>
      </c>
      <c r="AD99" s="563">
        <v>0</v>
      </c>
      <c r="AE99" s="564">
        <v>0</v>
      </c>
      <c r="AF99" s="565" t="s">
        <v>123</v>
      </c>
      <c r="AG99" s="566">
        <v>0</v>
      </c>
      <c r="AH99" s="567" t="s">
        <v>123</v>
      </c>
      <c r="AI99" s="564">
        <v>0</v>
      </c>
      <c r="AJ99" s="568" t="s">
        <v>123</v>
      </c>
      <c r="AK99" s="565" t="s">
        <v>123</v>
      </c>
      <c r="AL99" s="574">
        <v>0</v>
      </c>
      <c r="AM99" s="569" t="s">
        <v>123</v>
      </c>
      <c r="AN99" s="571" t="s">
        <v>123</v>
      </c>
      <c r="AO99" s="635"/>
      <c r="AP99" s="569"/>
      <c r="AQ99" s="653"/>
      <c r="AR99" s="637"/>
      <c r="AS99" s="638"/>
      <c r="AT99" s="579"/>
      <c r="AU99" s="580"/>
    </row>
    <row r="100" spans="1:47" ht="21" hidden="1" customHeight="1">
      <c r="A100" t="s">
        <v>552</v>
      </c>
      <c r="B100" t="s">
        <v>474</v>
      </c>
      <c r="C100" s="759"/>
      <c r="D100" s="561" t="s">
        <v>40</v>
      </c>
      <c r="E100" s="561" t="s">
        <v>142</v>
      </c>
      <c r="F100" s="561" t="s">
        <v>44</v>
      </c>
      <c r="G100" s="561" t="s">
        <v>60</v>
      </c>
      <c r="H100" s="565">
        <v>21996.99</v>
      </c>
      <c r="I100" s="564">
        <v>411</v>
      </c>
      <c r="J100" s="565">
        <v>53.520656934306572</v>
      </c>
      <c r="K100" s="566">
        <v>345</v>
      </c>
      <c r="L100" s="567">
        <v>0.16058394160583941</v>
      </c>
      <c r="M100" s="564">
        <v>188</v>
      </c>
      <c r="N100" s="568">
        <v>0.45507246376811594</v>
      </c>
      <c r="O100" s="565">
        <v>117.00526595744682</v>
      </c>
      <c r="P100" s="564">
        <v>93</v>
      </c>
      <c r="Q100" s="569">
        <v>0.26956521739130435</v>
      </c>
      <c r="R100" s="571">
        <v>236.52677419354839</v>
      </c>
      <c r="S100" s="563" t="s">
        <v>123</v>
      </c>
      <c r="T100" s="564" t="s">
        <v>123</v>
      </c>
      <c r="U100" s="565" t="s">
        <v>123</v>
      </c>
      <c r="V100" s="566" t="s">
        <v>123</v>
      </c>
      <c r="W100" s="567" t="s">
        <v>123</v>
      </c>
      <c r="X100" s="564" t="s">
        <v>123</v>
      </c>
      <c r="Y100" s="568" t="s">
        <v>123</v>
      </c>
      <c r="Z100" s="565" t="s">
        <v>123</v>
      </c>
      <c r="AA100" s="591" t="s">
        <v>123</v>
      </c>
      <c r="AB100" s="569" t="s">
        <v>123</v>
      </c>
      <c r="AC100" s="571" t="s">
        <v>123</v>
      </c>
      <c r="AD100" s="563">
        <v>21996.99</v>
      </c>
      <c r="AE100" s="564">
        <v>411</v>
      </c>
      <c r="AF100" s="565">
        <v>53.520656934306572</v>
      </c>
      <c r="AG100" s="566">
        <v>345</v>
      </c>
      <c r="AH100" s="567">
        <v>0.16058394160583941</v>
      </c>
      <c r="AI100" s="564">
        <v>188</v>
      </c>
      <c r="AJ100" s="568">
        <v>0.45507246376811594</v>
      </c>
      <c r="AK100" s="565">
        <v>117.00526595744682</v>
      </c>
      <c r="AL100" s="574">
        <v>93</v>
      </c>
      <c r="AM100" s="569">
        <v>0.26956521739130435</v>
      </c>
      <c r="AN100" s="571">
        <v>236.52677419354839</v>
      </c>
      <c r="AO100" s="635"/>
      <c r="AP100" s="569"/>
      <c r="AQ100" s="653"/>
      <c r="AR100" s="637"/>
      <c r="AS100" s="638"/>
      <c r="AT100" s="579"/>
      <c r="AU100" s="580"/>
    </row>
    <row r="101" spans="1:47" ht="21" hidden="1" customHeight="1">
      <c r="A101" t="s">
        <v>553</v>
      </c>
      <c r="B101" t="s">
        <v>476</v>
      </c>
      <c r="C101" s="759"/>
      <c r="D101" s="561" t="s">
        <v>52</v>
      </c>
      <c r="E101" s="561" t="s">
        <v>145</v>
      </c>
      <c r="F101" s="561" t="s">
        <v>44</v>
      </c>
      <c r="G101" s="561" t="s">
        <v>60</v>
      </c>
      <c r="H101" s="565">
        <v>17729.490000000002</v>
      </c>
      <c r="I101" s="564">
        <v>577</v>
      </c>
      <c r="J101" s="565">
        <v>30.727019064124786</v>
      </c>
      <c r="K101" s="566">
        <v>523</v>
      </c>
      <c r="L101" s="567">
        <v>9.3587521663778164E-2</v>
      </c>
      <c r="M101" s="564">
        <v>216</v>
      </c>
      <c r="N101" s="568">
        <v>0.5869980879541109</v>
      </c>
      <c r="O101" s="565">
        <v>82.080972222222229</v>
      </c>
      <c r="P101" s="564">
        <v>127</v>
      </c>
      <c r="Q101" s="569">
        <v>0.24282982791586999</v>
      </c>
      <c r="R101" s="571">
        <v>139.60228346456694</v>
      </c>
      <c r="S101" s="563" t="s">
        <v>123</v>
      </c>
      <c r="T101" s="564" t="s">
        <v>123</v>
      </c>
      <c r="U101" s="565" t="s">
        <v>123</v>
      </c>
      <c r="V101" s="566" t="s">
        <v>123</v>
      </c>
      <c r="W101" s="567" t="s">
        <v>123</v>
      </c>
      <c r="X101" s="564" t="s">
        <v>123</v>
      </c>
      <c r="Y101" s="568" t="s">
        <v>123</v>
      </c>
      <c r="Z101" s="565" t="s">
        <v>123</v>
      </c>
      <c r="AA101" s="591" t="s">
        <v>123</v>
      </c>
      <c r="AB101" s="569" t="s">
        <v>123</v>
      </c>
      <c r="AC101" s="571" t="s">
        <v>123</v>
      </c>
      <c r="AD101" s="563">
        <v>17729.490000000002</v>
      </c>
      <c r="AE101" s="564">
        <v>577</v>
      </c>
      <c r="AF101" s="565">
        <v>30.727019064124786</v>
      </c>
      <c r="AG101" s="566">
        <v>523</v>
      </c>
      <c r="AH101" s="567">
        <v>9.3587521663778164E-2</v>
      </c>
      <c r="AI101" s="564">
        <v>216</v>
      </c>
      <c r="AJ101" s="568">
        <v>0.5869980879541109</v>
      </c>
      <c r="AK101" s="565">
        <v>82.080972222222229</v>
      </c>
      <c r="AL101" s="574">
        <v>127</v>
      </c>
      <c r="AM101" s="569">
        <v>0.24282982791586999</v>
      </c>
      <c r="AN101" s="571">
        <v>139.60228346456694</v>
      </c>
      <c r="AO101" s="635"/>
      <c r="AP101" s="569"/>
      <c r="AQ101" s="653"/>
      <c r="AR101" s="637"/>
      <c r="AS101" s="638"/>
      <c r="AT101" s="579"/>
      <c r="AU101" s="580"/>
    </row>
    <row r="102" spans="1:47" ht="21" hidden="1" customHeight="1">
      <c r="A102" t="s">
        <v>554</v>
      </c>
      <c r="B102" t="s">
        <v>478</v>
      </c>
      <c r="C102" s="760"/>
      <c r="D102" s="584" t="s">
        <v>40</v>
      </c>
      <c r="E102" s="584" t="s">
        <v>57</v>
      </c>
      <c r="F102" s="584" t="s">
        <v>57</v>
      </c>
      <c r="G102" s="584" t="s">
        <v>60</v>
      </c>
      <c r="H102" s="565">
        <v>7844.21</v>
      </c>
      <c r="I102" s="581">
        <v>1251</v>
      </c>
      <c r="J102" s="582">
        <v>6.2703517186250997</v>
      </c>
      <c r="K102" s="566">
        <v>608</v>
      </c>
      <c r="L102" s="567">
        <v>0.51398880895283772</v>
      </c>
      <c r="M102" s="564">
        <v>220</v>
      </c>
      <c r="N102" s="568">
        <v>0.63815789473684215</v>
      </c>
      <c r="O102" s="586">
        <v>35.655500000000004</v>
      </c>
      <c r="P102" s="564">
        <v>85</v>
      </c>
      <c r="Q102" s="569">
        <v>0.13980263157894737</v>
      </c>
      <c r="R102" s="571">
        <v>92.284823529411767</v>
      </c>
      <c r="S102" s="563">
        <v>7844.21</v>
      </c>
      <c r="T102" s="564">
        <v>1251</v>
      </c>
      <c r="U102" s="565">
        <v>6.2703517186250997</v>
      </c>
      <c r="V102" s="566">
        <v>608</v>
      </c>
      <c r="W102" s="567">
        <v>0.51398880895283772</v>
      </c>
      <c r="X102" s="564">
        <v>220</v>
      </c>
      <c r="Y102" s="568">
        <v>0.63815789473684215</v>
      </c>
      <c r="Z102" s="586">
        <v>35.655500000000004</v>
      </c>
      <c r="AA102" s="591">
        <v>85</v>
      </c>
      <c r="AB102" s="569">
        <v>0.13980263157894737</v>
      </c>
      <c r="AC102" s="571">
        <v>92.284823529411767</v>
      </c>
      <c r="AD102" s="563" t="s">
        <v>123</v>
      </c>
      <c r="AE102" s="564" t="s">
        <v>123</v>
      </c>
      <c r="AF102" s="565" t="s">
        <v>123</v>
      </c>
      <c r="AG102" s="566" t="s">
        <v>123</v>
      </c>
      <c r="AH102" s="567" t="s">
        <v>123</v>
      </c>
      <c r="AI102" s="564" t="s">
        <v>123</v>
      </c>
      <c r="AJ102" s="568" t="s">
        <v>123</v>
      </c>
      <c r="AK102" s="586" t="s">
        <v>123</v>
      </c>
      <c r="AL102" s="574" t="s">
        <v>123</v>
      </c>
      <c r="AM102" s="569" t="s">
        <v>123</v>
      </c>
      <c r="AN102" s="571" t="s">
        <v>123</v>
      </c>
      <c r="AO102" s="635"/>
      <c r="AP102" s="654"/>
      <c r="AQ102" s="653"/>
      <c r="AR102" s="641"/>
      <c r="AS102" s="638"/>
      <c r="AT102" s="579"/>
      <c r="AU102" s="580"/>
    </row>
    <row r="103" spans="1:47" ht="49.95" customHeight="1" thickBot="1">
      <c r="C103" s="758" t="s">
        <v>250</v>
      </c>
      <c r="D103" s="541"/>
      <c r="E103" s="541"/>
      <c r="F103" s="541"/>
      <c r="G103" s="541" t="s">
        <v>139</v>
      </c>
      <c r="H103" s="545">
        <v>22845.94</v>
      </c>
      <c r="I103" s="544">
        <v>952</v>
      </c>
      <c r="J103" s="545">
        <v>23.997836134453781</v>
      </c>
      <c r="K103" s="546">
        <v>919</v>
      </c>
      <c r="L103" s="547">
        <v>3.4663865546218489E-2</v>
      </c>
      <c r="M103" s="544">
        <v>459</v>
      </c>
      <c r="N103" s="548">
        <v>0.50054406964091402</v>
      </c>
      <c r="O103" s="549">
        <v>49.773289760348582</v>
      </c>
      <c r="P103" s="629">
        <v>197</v>
      </c>
      <c r="Q103" s="548">
        <v>0.21436343852013057</v>
      </c>
      <c r="R103" s="551">
        <v>115.96923857868019</v>
      </c>
      <c r="S103" s="543">
        <v>1448.75</v>
      </c>
      <c r="T103" s="544">
        <v>121</v>
      </c>
      <c r="U103" s="545">
        <v>11.973140495867769</v>
      </c>
      <c r="V103" s="546">
        <v>179</v>
      </c>
      <c r="W103" s="547">
        <v>-0.47933884297520662</v>
      </c>
      <c r="X103" s="544">
        <v>58</v>
      </c>
      <c r="Y103" s="548">
        <v>0.67597765363128492</v>
      </c>
      <c r="Z103" s="549">
        <v>24.978448275862068</v>
      </c>
      <c r="AA103" s="629">
        <v>16</v>
      </c>
      <c r="AB103" s="548">
        <v>8.9385474860335198E-2</v>
      </c>
      <c r="AC103" s="551">
        <v>90.546875</v>
      </c>
      <c r="AD103" s="552">
        <v>21397.19</v>
      </c>
      <c r="AE103" s="553">
        <v>831</v>
      </c>
      <c r="AF103" s="549">
        <v>25.748724428399516</v>
      </c>
      <c r="AG103" s="546">
        <v>740</v>
      </c>
      <c r="AH103" s="547">
        <v>0.1095066185318893</v>
      </c>
      <c r="AI103" s="553">
        <v>401</v>
      </c>
      <c r="AJ103" s="548">
        <v>0.45810810810810809</v>
      </c>
      <c r="AK103" s="549">
        <v>53.359576059850369</v>
      </c>
      <c r="AL103" s="554">
        <v>181</v>
      </c>
      <c r="AM103" s="548">
        <v>0.24459459459459459</v>
      </c>
      <c r="AN103" s="551">
        <v>118.21651933701656</v>
      </c>
      <c r="AO103" s="630"/>
      <c r="AP103" s="664"/>
      <c r="AQ103" s="665"/>
      <c r="AR103" s="632"/>
      <c r="AS103" s="633"/>
      <c r="AT103" s="583"/>
      <c r="AU103" s="580"/>
    </row>
    <row r="104" spans="1:47" ht="21" hidden="1" customHeight="1">
      <c r="A104" t="s">
        <v>555</v>
      </c>
      <c r="B104" t="s">
        <v>466</v>
      </c>
      <c r="C104" s="759"/>
      <c r="D104" s="561" t="s">
        <v>40</v>
      </c>
      <c r="E104" s="561" t="s">
        <v>142</v>
      </c>
      <c r="F104" s="561" t="s">
        <v>44</v>
      </c>
      <c r="G104" s="561" t="s">
        <v>42</v>
      </c>
      <c r="H104" s="565">
        <v>4097.82</v>
      </c>
      <c r="I104" s="564">
        <v>191</v>
      </c>
      <c r="J104" s="565">
        <v>21.454554973821988</v>
      </c>
      <c r="K104" s="566">
        <v>194</v>
      </c>
      <c r="L104" s="567">
        <v>-1.5706806282722512E-2</v>
      </c>
      <c r="M104" s="564">
        <v>119</v>
      </c>
      <c r="N104" s="568">
        <v>0.38659793814432991</v>
      </c>
      <c r="O104" s="565">
        <v>34.435462184873948</v>
      </c>
      <c r="P104" s="564">
        <v>52</v>
      </c>
      <c r="Q104" s="569">
        <v>0.26804123711340205</v>
      </c>
      <c r="R104" s="571">
        <v>78.80423076923077</v>
      </c>
      <c r="S104" s="563" t="s">
        <v>123</v>
      </c>
      <c r="T104" s="564" t="s">
        <v>123</v>
      </c>
      <c r="U104" s="565" t="s">
        <v>123</v>
      </c>
      <c r="V104" s="566" t="s">
        <v>123</v>
      </c>
      <c r="W104" s="567" t="s">
        <v>123</v>
      </c>
      <c r="X104" s="564" t="s">
        <v>123</v>
      </c>
      <c r="Y104" s="568" t="s">
        <v>123</v>
      </c>
      <c r="Z104" s="565" t="s">
        <v>123</v>
      </c>
      <c r="AA104" s="591" t="s">
        <v>123</v>
      </c>
      <c r="AB104" s="569" t="s">
        <v>123</v>
      </c>
      <c r="AC104" s="571" t="s">
        <v>123</v>
      </c>
      <c r="AD104" s="563">
        <v>4097.82</v>
      </c>
      <c r="AE104" s="564">
        <v>191</v>
      </c>
      <c r="AF104" s="565">
        <v>21.454554973821988</v>
      </c>
      <c r="AG104" s="566">
        <v>194</v>
      </c>
      <c r="AH104" s="567">
        <v>-1.5706806282722512E-2</v>
      </c>
      <c r="AI104" s="564">
        <v>119</v>
      </c>
      <c r="AJ104" s="568">
        <v>0.38659793814432991</v>
      </c>
      <c r="AK104" s="565">
        <v>34.435462184873948</v>
      </c>
      <c r="AL104" s="591">
        <v>52</v>
      </c>
      <c r="AM104" s="569">
        <v>0.26804123711340205</v>
      </c>
      <c r="AN104" s="571">
        <v>78.80423076923077</v>
      </c>
      <c r="AO104" s="635"/>
      <c r="AP104" s="569"/>
      <c r="AQ104" s="653"/>
      <c r="AR104" s="637"/>
      <c r="AS104" s="638"/>
      <c r="AT104" s="579"/>
      <c r="AU104" s="580"/>
    </row>
    <row r="105" spans="1:47" ht="21" hidden="1" customHeight="1">
      <c r="A105" t="s">
        <v>556</v>
      </c>
      <c r="B105" t="s">
        <v>468</v>
      </c>
      <c r="C105" s="759"/>
      <c r="D105" s="561" t="s">
        <v>52</v>
      </c>
      <c r="E105" s="561" t="s">
        <v>145</v>
      </c>
      <c r="F105" s="561" t="s">
        <v>44</v>
      </c>
      <c r="G105" s="561" t="s">
        <v>42</v>
      </c>
      <c r="H105" s="565">
        <v>1462.98</v>
      </c>
      <c r="I105" s="564">
        <v>105</v>
      </c>
      <c r="J105" s="565">
        <v>13.933142857142858</v>
      </c>
      <c r="K105" s="566">
        <v>87</v>
      </c>
      <c r="L105" s="567">
        <v>0.17142857142857143</v>
      </c>
      <c r="M105" s="564">
        <v>48</v>
      </c>
      <c r="N105" s="568">
        <v>0.44827586206896552</v>
      </c>
      <c r="O105" s="565">
        <v>30.478750000000002</v>
      </c>
      <c r="P105" s="564">
        <v>10</v>
      </c>
      <c r="Q105" s="569">
        <v>0.11494252873563218</v>
      </c>
      <c r="R105" s="571">
        <v>146.298</v>
      </c>
      <c r="S105" s="563" t="s">
        <v>123</v>
      </c>
      <c r="T105" s="564" t="s">
        <v>123</v>
      </c>
      <c r="U105" s="565" t="s">
        <v>123</v>
      </c>
      <c r="V105" s="566" t="s">
        <v>123</v>
      </c>
      <c r="W105" s="567" t="s">
        <v>123</v>
      </c>
      <c r="X105" s="564" t="s">
        <v>123</v>
      </c>
      <c r="Y105" s="568" t="s">
        <v>123</v>
      </c>
      <c r="Z105" s="565" t="s">
        <v>123</v>
      </c>
      <c r="AA105" s="591" t="s">
        <v>123</v>
      </c>
      <c r="AB105" s="569" t="s">
        <v>123</v>
      </c>
      <c r="AC105" s="571" t="s">
        <v>123</v>
      </c>
      <c r="AD105" s="563">
        <v>1462.98</v>
      </c>
      <c r="AE105" s="564">
        <v>105</v>
      </c>
      <c r="AF105" s="565">
        <v>13.933142857142858</v>
      </c>
      <c r="AG105" s="566">
        <v>87</v>
      </c>
      <c r="AH105" s="567">
        <v>0.17142857142857143</v>
      </c>
      <c r="AI105" s="564">
        <v>48</v>
      </c>
      <c r="AJ105" s="568">
        <v>0.44827586206896552</v>
      </c>
      <c r="AK105" s="565">
        <v>30.478750000000002</v>
      </c>
      <c r="AL105" s="591">
        <v>10</v>
      </c>
      <c r="AM105" s="569">
        <v>0.11494252873563218</v>
      </c>
      <c r="AN105" s="571">
        <v>146.298</v>
      </c>
      <c r="AO105" s="635"/>
      <c r="AP105" s="569"/>
      <c r="AQ105" s="653"/>
      <c r="AR105" s="637"/>
      <c r="AS105" s="638"/>
      <c r="AT105" s="579"/>
      <c r="AU105" s="580"/>
    </row>
    <row r="106" spans="1:47" ht="21" hidden="1" customHeight="1">
      <c r="A106" t="s">
        <v>557</v>
      </c>
      <c r="B106" t="s">
        <v>470</v>
      </c>
      <c r="C106" s="759"/>
      <c r="D106" s="561" t="s">
        <v>40</v>
      </c>
      <c r="E106" s="561" t="s">
        <v>57</v>
      </c>
      <c r="F106" s="561" t="s">
        <v>57</v>
      </c>
      <c r="G106" s="561" t="s">
        <v>42</v>
      </c>
      <c r="H106" s="565">
        <v>0</v>
      </c>
      <c r="I106" s="564">
        <v>0</v>
      </c>
      <c r="J106" s="565" t="s">
        <v>123</v>
      </c>
      <c r="K106" s="566">
        <v>3</v>
      </c>
      <c r="L106" s="567" t="s">
        <v>123</v>
      </c>
      <c r="M106" s="564">
        <v>0</v>
      </c>
      <c r="N106" s="568">
        <v>1</v>
      </c>
      <c r="O106" s="565" t="s">
        <v>123</v>
      </c>
      <c r="P106" s="564">
        <v>0</v>
      </c>
      <c r="Q106" s="569">
        <v>0</v>
      </c>
      <c r="R106" s="571" t="s">
        <v>123</v>
      </c>
      <c r="S106" s="563">
        <v>0</v>
      </c>
      <c r="T106" s="564">
        <v>0</v>
      </c>
      <c r="U106" s="565" t="s">
        <v>123</v>
      </c>
      <c r="V106" s="566">
        <v>3</v>
      </c>
      <c r="W106" s="567" t="s">
        <v>123</v>
      </c>
      <c r="X106" s="564">
        <v>0</v>
      </c>
      <c r="Y106" s="568">
        <v>1</v>
      </c>
      <c r="Z106" s="565" t="s">
        <v>123</v>
      </c>
      <c r="AA106" s="591">
        <v>0</v>
      </c>
      <c r="AB106" s="569">
        <v>0</v>
      </c>
      <c r="AC106" s="571" t="s">
        <v>123</v>
      </c>
      <c r="AD106" s="563" t="s">
        <v>123</v>
      </c>
      <c r="AE106" s="564" t="s">
        <v>123</v>
      </c>
      <c r="AF106" s="565" t="s">
        <v>123</v>
      </c>
      <c r="AG106" s="566" t="s">
        <v>123</v>
      </c>
      <c r="AH106" s="567" t="s">
        <v>123</v>
      </c>
      <c r="AI106" s="564" t="s">
        <v>123</v>
      </c>
      <c r="AJ106" s="568" t="s">
        <v>123</v>
      </c>
      <c r="AK106" s="565" t="s">
        <v>123</v>
      </c>
      <c r="AL106" s="591" t="s">
        <v>123</v>
      </c>
      <c r="AM106" s="569" t="s">
        <v>123</v>
      </c>
      <c r="AN106" s="571" t="s">
        <v>123</v>
      </c>
      <c r="AO106" s="635"/>
      <c r="AP106" s="569"/>
      <c r="AQ106" s="653"/>
      <c r="AR106" s="637"/>
      <c r="AS106" s="638"/>
      <c r="AT106" s="579"/>
      <c r="AU106" s="580"/>
    </row>
    <row r="107" spans="1:47" ht="21" hidden="1" customHeight="1">
      <c r="A107" t="s">
        <v>558</v>
      </c>
      <c r="B107" t="s">
        <v>472</v>
      </c>
      <c r="C107" s="759"/>
      <c r="D107" s="561" t="s">
        <v>52</v>
      </c>
      <c r="E107" s="561" t="s">
        <v>121</v>
      </c>
      <c r="F107" s="561" t="s">
        <v>44</v>
      </c>
      <c r="G107" s="561" t="s">
        <v>42</v>
      </c>
      <c r="H107" s="565">
        <v>0</v>
      </c>
      <c r="I107" s="564">
        <v>0</v>
      </c>
      <c r="J107" s="565" t="s">
        <v>123</v>
      </c>
      <c r="K107" s="566">
        <v>0</v>
      </c>
      <c r="L107" s="567" t="s">
        <v>123</v>
      </c>
      <c r="M107" s="564">
        <v>0</v>
      </c>
      <c r="N107" s="568" t="s">
        <v>123</v>
      </c>
      <c r="O107" s="565" t="s">
        <v>123</v>
      </c>
      <c r="P107" s="564">
        <v>0</v>
      </c>
      <c r="Q107" s="569" t="s">
        <v>123</v>
      </c>
      <c r="R107" s="571" t="s">
        <v>123</v>
      </c>
      <c r="S107" s="563" t="s">
        <v>123</v>
      </c>
      <c r="T107" s="564" t="s">
        <v>123</v>
      </c>
      <c r="U107" s="565" t="s">
        <v>123</v>
      </c>
      <c r="V107" s="566" t="s">
        <v>123</v>
      </c>
      <c r="W107" s="567" t="s">
        <v>123</v>
      </c>
      <c r="X107" s="564" t="s">
        <v>123</v>
      </c>
      <c r="Y107" s="568" t="s">
        <v>123</v>
      </c>
      <c r="Z107" s="565" t="s">
        <v>123</v>
      </c>
      <c r="AA107" s="591" t="s">
        <v>123</v>
      </c>
      <c r="AB107" s="569" t="s">
        <v>123</v>
      </c>
      <c r="AC107" s="571" t="s">
        <v>123</v>
      </c>
      <c r="AD107" s="563">
        <v>0</v>
      </c>
      <c r="AE107" s="564">
        <v>0</v>
      </c>
      <c r="AF107" s="565" t="s">
        <v>123</v>
      </c>
      <c r="AG107" s="566">
        <v>0</v>
      </c>
      <c r="AH107" s="567" t="s">
        <v>123</v>
      </c>
      <c r="AI107" s="564">
        <v>0</v>
      </c>
      <c r="AJ107" s="568" t="s">
        <v>123</v>
      </c>
      <c r="AK107" s="565" t="s">
        <v>123</v>
      </c>
      <c r="AL107" s="591">
        <v>0</v>
      </c>
      <c r="AM107" s="569" t="s">
        <v>123</v>
      </c>
      <c r="AN107" s="571" t="s">
        <v>123</v>
      </c>
      <c r="AO107" s="635"/>
      <c r="AP107" s="569"/>
      <c r="AQ107" s="653"/>
      <c r="AR107" s="637"/>
      <c r="AS107" s="638"/>
      <c r="AT107" s="579"/>
      <c r="AU107" s="580"/>
    </row>
    <row r="108" spans="1:47" ht="21" hidden="1" customHeight="1">
      <c r="A108" t="s">
        <v>559</v>
      </c>
      <c r="B108" t="s">
        <v>474</v>
      </c>
      <c r="C108" s="759"/>
      <c r="D108" s="561" t="s">
        <v>40</v>
      </c>
      <c r="E108" s="561" t="s">
        <v>142</v>
      </c>
      <c r="F108" s="561" t="s">
        <v>44</v>
      </c>
      <c r="G108" s="561" t="s">
        <v>60</v>
      </c>
      <c r="H108" s="565">
        <v>9376.39</v>
      </c>
      <c r="I108" s="564">
        <v>254</v>
      </c>
      <c r="J108" s="565">
        <v>36.914921259842515</v>
      </c>
      <c r="K108" s="566">
        <v>211</v>
      </c>
      <c r="L108" s="567">
        <v>0.16929133858267717</v>
      </c>
      <c r="M108" s="564">
        <v>115</v>
      </c>
      <c r="N108" s="568">
        <v>0.45497630331753552</v>
      </c>
      <c r="O108" s="565">
        <v>81.533826086956523</v>
      </c>
      <c r="P108" s="564">
        <v>55</v>
      </c>
      <c r="Q108" s="569">
        <v>0.26066350710900477</v>
      </c>
      <c r="R108" s="571">
        <v>170.47981818181816</v>
      </c>
      <c r="S108" s="563" t="s">
        <v>123</v>
      </c>
      <c r="T108" s="564" t="s">
        <v>123</v>
      </c>
      <c r="U108" s="565" t="s">
        <v>123</v>
      </c>
      <c r="V108" s="566" t="s">
        <v>123</v>
      </c>
      <c r="W108" s="567" t="s">
        <v>123</v>
      </c>
      <c r="X108" s="564" t="s">
        <v>123</v>
      </c>
      <c r="Y108" s="568" t="s">
        <v>123</v>
      </c>
      <c r="Z108" s="565" t="s">
        <v>123</v>
      </c>
      <c r="AA108" s="591" t="s">
        <v>123</v>
      </c>
      <c r="AB108" s="569" t="s">
        <v>123</v>
      </c>
      <c r="AC108" s="571" t="s">
        <v>123</v>
      </c>
      <c r="AD108" s="563">
        <v>9376.39</v>
      </c>
      <c r="AE108" s="564">
        <v>254</v>
      </c>
      <c r="AF108" s="565">
        <v>36.914921259842515</v>
      </c>
      <c r="AG108" s="566">
        <v>211</v>
      </c>
      <c r="AH108" s="567">
        <v>0.16929133858267717</v>
      </c>
      <c r="AI108" s="564">
        <v>115</v>
      </c>
      <c r="AJ108" s="568">
        <v>0.45497630331753552</v>
      </c>
      <c r="AK108" s="565">
        <v>81.533826086956523</v>
      </c>
      <c r="AL108" s="591">
        <v>55</v>
      </c>
      <c r="AM108" s="569">
        <v>0.26066350710900477</v>
      </c>
      <c r="AN108" s="571">
        <v>170.47981818181816</v>
      </c>
      <c r="AO108" s="635"/>
      <c r="AP108" s="569"/>
      <c r="AQ108" s="653"/>
      <c r="AR108" s="637"/>
      <c r="AS108" s="638"/>
      <c r="AT108" s="579"/>
      <c r="AU108" s="580"/>
    </row>
    <row r="109" spans="1:47" ht="21" hidden="1" customHeight="1">
      <c r="A109" t="s">
        <v>560</v>
      </c>
      <c r="B109" t="s">
        <v>476</v>
      </c>
      <c r="C109" s="759"/>
      <c r="D109" s="561" t="s">
        <v>52</v>
      </c>
      <c r="E109" s="561" t="s">
        <v>145</v>
      </c>
      <c r="F109" s="561" t="s">
        <v>44</v>
      </c>
      <c r="G109" s="561" t="s">
        <v>60</v>
      </c>
      <c r="H109" s="565">
        <v>6460</v>
      </c>
      <c r="I109" s="564">
        <v>281</v>
      </c>
      <c r="J109" s="565">
        <v>22.989323843416368</v>
      </c>
      <c r="K109" s="566">
        <v>248</v>
      </c>
      <c r="L109" s="567">
        <v>0.11743772241992882</v>
      </c>
      <c r="M109" s="564">
        <v>119</v>
      </c>
      <c r="N109" s="568">
        <v>0.52016129032258063</v>
      </c>
      <c r="O109" s="565">
        <v>54.285714285714285</v>
      </c>
      <c r="P109" s="564">
        <v>64</v>
      </c>
      <c r="Q109" s="569">
        <v>0.25806451612903225</v>
      </c>
      <c r="R109" s="571">
        <v>100.9375</v>
      </c>
      <c r="S109" s="563" t="s">
        <v>123</v>
      </c>
      <c r="T109" s="564" t="s">
        <v>123</v>
      </c>
      <c r="U109" s="565" t="s">
        <v>123</v>
      </c>
      <c r="V109" s="566" t="s">
        <v>123</v>
      </c>
      <c r="W109" s="567" t="s">
        <v>123</v>
      </c>
      <c r="X109" s="564" t="s">
        <v>123</v>
      </c>
      <c r="Y109" s="568" t="s">
        <v>123</v>
      </c>
      <c r="Z109" s="565" t="s">
        <v>123</v>
      </c>
      <c r="AA109" s="591" t="s">
        <v>123</v>
      </c>
      <c r="AB109" s="569" t="s">
        <v>123</v>
      </c>
      <c r="AC109" s="571" t="s">
        <v>123</v>
      </c>
      <c r="AD109" s="563">
        <v>6460</v>
      </c>
      <c r="AE109" s="564">
        <v>281</v>
      </c>
      <c r="AF109" s="565">
        <v>22.989323843416368</v>
      </c>
      <c r="AG109" s="566">
        <v>248</v>
      </c>
      <c r="AH109" s="567">
        <v>0.11743772241992882</v>
      </c>
      <c r="AI109" s="564">
        <v>119</v>
      </c>
      <c r="AJ109" s="568">
        <v>0.52016129032258063</v>
      </c>
      <c r="AK109" s="565">
        <v>54.285714285714285</v>
      </c>
      <c r="AL109" s="591">
        <v>64</v>
      </c>
      <c r="AM109" s="569">
        <v>0.25806451612903225</v>
      </c>
      <c r="AN109" s="571">
        <v>100.9375</v>
      </c>
      <c r="AO109" s="635"/>
      <c r="AP109" s="569"/>
      <c r="AQ109" s="653"/>
      <c r="AR109" s="637"/>
      <c r="AS109" s="638"/>
      <c r="AT109" s="579"/>
      <c r="AU109" s="580"/>
    </row>
    <row r="110" spans="1:47" ht="21" hidden="1" customHeight="1">
      <c r="A110" t="s">
        <v>561</v>
      </c>
      <c r="B110" t="s">
        <v>478</v>
      </c>
      <c r="C110" s="759"/>
      <c r="D110" s="584" t="s">
        <v>40</v>
      </c>
      <c r="E110" s="584" t="s">
        <v>57</v>
      </c>
      <c r="F110" s="584" t="s">
        <v>57</v>
      </c>
      <c r="G110" s="584" t="s">
        <v>60</v>
      </c>
      <c r="H110" s="565">
        <v>1448.75</v>
      </c>
      <c r="I110" s="581">
        <v>121</v>
      </c>
      <c r="J110" s="582">
        <v>11.973140495867769</v>
      </c>
      <c r="K110" s="566">
        <v>176</v>
      </c>
      <c r="L110" s="567">
        <v>-0.45454545454545453</v>
      </c>
      <c r="M110" s="564">
        <v>58</v>
      </c>
      <c r="N110" s="568">
        <v>0.67045454545454541</v>
      </c>
      <c r="O110" s="586">
        <v>24.978448275862068</v>
      </c>
      <c r="P110" s="564">
        <v>16</v>
      </c>
      <c r="Q110" s="569">
        <v>9.0909090909090912E-2</v>
      </c>
      <c r="R110" s="571">
        <v>90.546875</v>
      </c>
      <c r="S110" s="563">
        <v>1448.75</v>
      </c>
      <c r="T110" s="564">
        <v>121</v>
      </c>
      <c r="U110" s="565">
        <v>11.973140495867769</v>
      </c>
      <c r="V110" s="566">
        <v>176</v>
      </c>
      <c r="W110" s="567">
        <v>-0.45454545454545453</v>
      </c>
      <c r="X110" s="564">
        <v>58</v>
      </c>
      <c r="Y110" s="568">
        <v>0.67045454545454541</v>
      </c>
      <c r="Z110" s="586">
        <v>24.978448275862068</v>
      </c>
      <c r="AA110" s="591">
        <v>16</v>
      </c>
      <c r="AB110" s="569">
        <v>9.0909090909090912E-2</v>
      </c>
      <c r="AC110" s="571">
        <v>90.546875</v>
      </c>
      <c r="AD110" s="563" t="s">
        <v>123</v>
      </c>
      <c r="AE110" s="564" t="s">
        <v>123</v>
      </c>
      <c r="AF110" s="565" t="s">
        <v>123</v>
      </c>
      <c r="AG110" s="566" t="s">
        <v>123</v>
      </c>
      <c r="AH110" s="567" t="s">
        <v>123</v>
      </c>
      <c r="AI110" s="564" t="s">
        <v>123</v>
      </c>
      <c r="AJ110" s="568" t="s">
        <v>123</v>
      </c>
      <c r="AK110" s="586" t="s">
        <v>123</v>
      </c>
      <c r="AL110" s="591" t="s">
        <v>123</v>
      </c>
      <c r="AM110" s="569" t="s">
        <v>123</v>
      </c>
      <c r="AN110" s="571" t="s">
        <v>123</v>
      </c>
      <c r="AO110" s="635"/>
      <c r="AP110" s="654"/>
      <c r="AQ110" s="653"/>
      <c r="AR110" s="641"/>
      <c r="AS110" s="638"/>
      <c r="AT110" s="579"/>
      <c r="AU110" s="580"/>
    </row>
    <row r="111" spans="1:47" ht="30" customHeight="1" thickBot="1">
      <c r="C111" s="593" t="s">
        <v>258</v>
      </c>
      <c r="D111" s="594"/>
      <c r="E111" s="594"/>
      <c r="F111" s="594"/>
      <c r="G111" s="594"/>
      <c r="H111" s="595">
        <f>SUMIF($G:$G,"tot",H:H)</f>
        <v>1579854.0899999999</v>
      </c>
      <c r="I111" s="596">
        <f>SUMIF($G:$G,"tot",I:I)</f>
        <v>106193</v>
      </c>
      <c r="J111" s="597">
        <v>24.028959882616117</v>
      </c>
      <c r="K111" s="598">
        <f>SUMIF($G:$G,"tot",K:K)</f>
        <v>64700</v>
      </c>
      <c r="L111" s="599">
        <v>0.316599716161932</v>
      </c>
      <c r="M111" s="596">
        <f>SUMIF($G:$G,"tot",M:M)</f>
        <v>33318</v>
      </c>
      <c r="N111" s="600">
        <v>0.28094752032663406</v>
      </c>
      <c r="O111" s="597">
        <v>48.89891571785207</v>
      </c>
      <c r="P111" s="596">
        <f>SUMIF($G:$G,"tot",P:P)</f>
        <v>10830</v>
      </c>
      <c r="Q111" s="601">
        <v>0.19615641828869099</v>
      </c>
      <c r="R111" s="602">
        <v>179.24922827920329</v>
      </c>
      <c r="S111" s="597">
        <f>SUMIF($G:$G,"tot",S:S)</f>
        <v>1078543.92</v>
      </c>
      <c r="T111" s="596">
        <f>SUMIF($G:$G,"tot",T:T)</f>
        <v>87199</v>
      </c>
      <c r="U111" s="644">
        <v>17.674687304792677</v>
      </c>
      <c r="V111" s="598">
        <f>SUMIF($G:$G,"tot",V:V)</f>
        <v>48563</v>
      </c>
      <c r="W111" s="599">
        <v>0.42208535271943998</v>
      </c>
      <c r="X111" s="596">
        <f>SUMIF($G:$G,"tot",X:X)</f>
        <v>23748</v>
      </c>
      <c r="Y111" s="600">
        <v>0.34459262710383787</v>
      </c>
      <c r="Z111" s="644">
        <v>46.663436040518931</v>
      </c>
      <c r="AA111" s="596">
        <f>SUMIF($G:$G,"tot",AA:AA)</f>
        <v>6960</v>
      </c>
      <c r="AB111" s="601">
        <v>0.1075068429328519</v>
      </c>
      <c r="AC111" s="603">
        <v>284.48012416034669</v>
      </c>
      <c r="AD111" s="595">
        <f>SUMIF($G:$G,"tot",AD:AD)</f>
        <v>501310.17</v>
      </c>
      <c r="AE111" s="596">
        <f>SUMIF($G:$G,"tot",AE:AE)</f>
        <v>18994</v>
      </c>
      <c r="AF111" s="597">
        <v>39.946517157069387</v>
      </c>
      <c r="AG111" s="598">
        <f>SUMIF($G:$G,"tot",AG:AG)</f>
        <v>16137</v>
      </c>
      <c r="AH111" s="599">
        <v>5.2356462355619256E-2</v>
      </c>
      <c r="AI111" s="596">
        <f>SUMIF($G:$G,"tot",AI:AI)</f>
        <v>9570</v>
      </c>
      <c r="AJ111" s="600">
        <v>0.18371886120996442</v>
      </c>
      <c r="AK111" s="597">
        <v>51.6409416893733</v>
      </c>
      <c r="AL111" s="596">
        <f>SUMIF($G:$G,"tot",AL:AL)</f>
        <v>3870</v>
      </c>
      <c r="AM111" s="601">
        <v>0.33158362989323842</v>
      </c>
      <c r="AN111" s="603">
        <v>127.12788838207675</v>
      </c>
      <c r="AO111" s="645">
        <v>0.88839999999999997</v>
      </c>
      <c r="AP111" s="601">
        <v>0.72260000000000002</v>
      </c>
      <c r="AQ111" s="646">
        <v>0.75219999999999998</v>
      </c>
      <c r="AR111" s="604">
        <v>0.74009999999999998</v>
      </c>
      <c r="AS111" s="647">
        <v>2.4700000000000002</v>
      </c>
      <c r="AT111" s="605"/>
      <c r="AU111" s="606"/>
    </row>
    <row r="112" spans="1:47">
      <c r="J112"/>
      <c r="AQ112" s="609"/>
    </row>
    <row r="113" spans="8:45">
      <c r="H113" s="463">
        <f>S113+AD113</f>
        <v>1048271.1199999999</v>
      </c>
      <c r="I113" s="464">
        <f>T113+AE113</f>
        <v>89583</v>
      </c>
      <c r="J113" s="463">
        <f t="shared" ref="J113" si="0">IFERROR(H113/I113,"-")</f>
        <v>11.701674648091712</v>
      </c>
      <c r="K113" s="464">
        <f>V113+AG113</f>
        <v>55871</v>
      </c>
      <c r="L113" s="183">
        <f t="shared" ref="L113" si="1">IFERROR((I113-K113)/I113,"-")</f>
        <v>0.3763214002656754</v>
      </c>
      <c r="M113" s="464">
        <f>X113+AI113</f>
        <v>30067</v>
      </c>
      <c r="N113" s="183">
        <f t="shared" ref="N113" si="2">IFERROR((K113-M113)/K113,"-")</f>
        <v>0.46184961786973566</v>
      </c>
      <c r="O113" s="463">
        <f t="shared" ref="O113" si="3">IFERROR(H113/M113,"-")</f>
        <v>34.864506601922372</v>
      </c>
      <c r="P113" s="464">
        <f>AA113+AL113</f>
        <v>9607</v>
      </c>
      <c r="Q113" s="183">
        <f>IFERROR(P113/K113,"-")</f>
        <v>0.17194966977501744</v>
      </c>
      <c r="R113" s="463">
        <f t="shared" ref="R113" si="4">IFERROR(H113/P113,"-")</f>
        <v>109.11534506089309</v>
      </c>
      <c r="S113" s="463">
        <f>S111-S87</f>
        <v>546960.94999999984</v>
      </c>
      <c r="T113" s="464">
        <f>T111-T87</f>
        <v>70589</v>
      </c>
      <c r="U113" s="463">
        <f t="shared" ref="U113" si="5">IFERROR(S113/T113,"-")</f>
        <v>7.7485295159302421</v>
      </c>
      <c r="V113" s="464">
        <f>V111-V87</f>
        <v>39734</v>
      </c>
      <c r="W113" s="183">
        <f t="shared" ref="W113" si="6">IFERROR((T113-V113)/T113,"-")</f>
        <v>0.4371077646658828</v>
      </c>
      <c r="X113" s="464">
        <f>X111-X87</f>
        <v>20497</v>
      </c>
      <c r="Y113" s="183">
        <f t="shared" ref="Y113" si="7">IFERROR((V113-X113)/V113,"-")</f>
        <v>0.48414456133286354</v>
      </c>
      <c r="Z113" s="463">
        <f t="shared" ref="Z113" si="8">IFERROR(S113/X113,"-")</f>
        <v>26.684927062496943</v>
      </c>
      <c r="AA113" s="464">
        <f>AA111-AA87</f>
        <v>5737</v>
      </c>
      <c r="AB113" s="183">
        <f>IFERROR(AA113/V113,"-")</f>
        <v>0.14438516132279661</v>
      </c>
      <c r="AC113" s="463">
        <f t="shared" ref="AC113" si="9">IFERROR(S113/AA113,"-")</f>
        <v>95.339192957991955</v>
      </c>
      <c r="AD113" s="463">
        <f>AD111</f>
        <v>501310.17</v>
      </c>
      <c r="AE113" s="464">
        <f>AE111</f>
        <v>18994</v>
      </c>
      <c r="AF113" s="463">
        <f t="shared" ref="AF113" si="10">IFERROR(AD113/AE113,"-")</f>
        <v>26.393080446456775</v>
      </c>
      <c r="AG113" s="464">
        <f>AG111</f>
        <v>16137</v>
      </c>
      <c r="AH113" s="183">
        <f t="shared" ref="AH113" si="11">IFERROR((AE113-AG113)/AE113,"-")</f>
        <v>0.15041592081710015</v>
      </c>
      <c r="AI113" s="464">
        <f>AI111</f>
        <v>9570</v>
      </c>
      <c r="AJ113" s="183">
        <f t="shared" ref="AJ113" si="12">IFERROR((AG113-AI113)/AG113,"-")</f>
        <v>0.40695296523517382</v>
      </c>
      <c r="AK113" s="463">
        <f t="shared" ref="AK113" si="13">IFERROR(AD113/AI113,"-")</f>
        <v>52.383507836990596</v>
      </c>
      <c r="AL113" s="464">
        <f>AL111</f>
        <v>3870</v>
      </c>
      <c r="AM113" s="183">
        <f>IFERROR(AL113/AG113,"-")</f>
        <v>0.23982152816508645</v>
      </c>
      <c r="AN113" s="463">
        <f t="shared" ref="AN113" si="14">IFERROR(AD113/AL113,"-")</f>
        <v>129.53751162790698</v>
      </c>
      <c r="AS113"/>
    </row>
    <row r="114" spans="8:45">
      <c r="H114"/>
      <c r="I114"/>
      <c r="J114"/>
      <c r="K114"/>
      <c r="L114"/>
      <c r="M114"/>
      <c r="N114"/>
      <c r="S114" s="417"/>
      <c r="T114"/>
      <c r="W114"/>
      <c r="AB114"/>
      <c r="AS114"/>
    </row>
    <row r="115" spans="8:45">
      <c r="H115"/>
      <c r="I115"/>
      <c r="J115"/>
      <c r="K115"/>
      <c r="L115"/>
      <c r="M115"/>
      <c r="N115"/>
      <c r="R115" s="461" t="s">
        <v>572</v>
      </c>
      <c r="S115" s="730">
        <f>S3-S87</f>
        <v>718265.37469999993</v>
      </c>
      <c r="T115" s="731">
        <f>S115/U115</f>
        <v>99426.606917934623</v>
      </c>
      <c r="U115" s="730">
        <f>U3</f>
        <v>7.2240760995982338</v>
      </c>
      <c r="V115" s="731">
        <f>T115*(1-W115)</f>
        <v>58988.79679682156</v>
      </c>
      <c r="W115" s="732">
        <f>W3</f>
        <v>0.40671014906995551</v>
      </c>
      <c r="X115" s="731">
        <f>V115*(1-Y115)</f>
        <v>31489.204598778641</v>
      </c>
      <c r="Y115" s="733">
        <f>Y3</f>
        <v>0.46618330414097636</v>
      </c>
      <c r="Z115" s="730">
        <f>Z3</f>
        <v>22.809892591820468</v>
      </c>
      <c r="AA115" s="731">
        <f>V115*AB115</f>
        <v>9035.4020608322171</v>
      </c>
      <c r="AB115" s="732">
        <f>AB3</f>
        <v>0.15317149274892591</v>
      </c>
      <c r="AC115" s="730">
        <f>S115/AA115</f>
        <v>79.4945670224932</v>
      </c>
      <c r="AE115"/>
      <c r="AG115"/>
      <c r="AH115"/>
      <c r="AI115"/>
      <c r="AJ115"/>
      <c r="AL115" s="607"/>
      <c r="AS115"/>
    </row>
    <row r="116" spans="8:45">
      <c r="H116"/>
      <c r="I116"/>
      <c r="J116"/>
      <c r="K116"/>
      <c r="L116"/>
      <c r="M116"/>
      <c r="N116"/>
      <c r="T116"/>
      <c r="W116"/>
      <c r="AB116"/>
      <c r="AC116" s="462" t="s">
        <v>259</v>
      </c>
      <c r="AD116" s="463">
        <f>SUMIF($E:$E,"MCB",$AD:$AD)</f>
        <v>0</v>
      </c>
      <c r="AE116" s="464">
        <f>SUMIF($E:$E,"MCB",$AE:$AE)</f>
        <v>0</v>
      </c>
      <c r="AF116" s="463" t="str">
        <f>IFERROR(AD116/AE116,"-")</f>
        <v>-</v>
      </c>
      <c r="AG116" s="464">
        <f>SUMIF($E:$E,"MCB",$AG:$AG)</f>
        <v>0</v>
      </c>
      <c r="AH116" s="183" t="str">
        <f>IFERROR((AE116-AG116)/AE116,"-")</f>
        <v>-</v>
      </c>
      <c r="AI116" s="464">
        <f>SUMIF($E:$E,"MCB",$AI:$AI)</f>
        <v>0</v>
      </c>
      <c r="AJ116" s="183" t="str">
        <f t="shared" ref="AJ116:AJ117" si="15">IFERROR((AG116-AI116)/AG116,"-")</f>
        <v>-</v>
      </c>
      <c r="AK116" s="463" t="str">
        <f t="shared" ref="AK116:AK117" si="16">IFERROR(AD116/AI116,"-")</f>
        <v>-</v>
      </c>
      <c r="AL116" s="464">
        <f>SUMIF($E:$E,"MCB",$AL:$AL)</f>
        <v>0</v>
      </c>
      <c r="AM116" s="183" t="str">
        <f>IFERROR(AL116/AG116,"-")</f>
        <v>-</v>
      </c>
      <c r="AN116" s="463" t="str">
        <f t="shared" ref="AN116:AN117" si="17">IFERROR(AD116/AL116,"-")</f>
        <v>-</v>
      </c>
      <c r="AS116"/>
    </row>
    <row r="117" spans="8:45">
      <c r="H117"/>
      <c r="I117"/>
      <c r="J117"/>
      <c r="K117"/>
      <c r="L117"/>
      <c r="M117"/>
      <c r="N117"/>
      <c r="T117"/>
      <c r="W117"/>
      <c r="AB117"/>
      <c r="AC117" s="462" t="s">
        <v>260</v>
      </c>
      <c r="AD117" s="463">
        <f>AD113-AD116</f>
        <v>501310.17</v>
      </c>
      <c r="AE117" s="464">
        <f>AE113-AE116</f>
        <v>18994</v>
      </c>
      <c r="AF117" s="463">
        <f>IFERROR(AD117/AE117,"-")</f>
        <v>26.393080446456775</v>
      </c>
      <c r="AG117" s="464">
        <f>AG113-AG116</f>
        <v>16137</v>
      </c>
      <c r="AH117" s="183">
        <f>IFERROR((AE117-AG117)/AE117,"-")</f>
        <v>0.15041592081710015</v>
      </c>
      <c r="AI117" s="464">
        <f>AI113-AI116</f>
        <v>9570</v>
      </c>
      <c r="AJ117" s="183">
        <f t="shared" si="15"/>
        <v>0.40695296523517382</v>
      </c>
      <c r="AK117" s="463">
        <f t="shared" si="16"/>
        <v>52.383507836990596</v>
      </c>
      <c r="AL117" s="464">
        <f>AL113-AL116</f>
        <v>3870</v>
      </c>
      <c r="AM117" s="183">
        <f>IFERROR(AL117/AG117,"-")</f>
        <v>0.23982152816508645</v>
      </c>
      <c r="AN117" s="463">
        <f t="shared" si="17"/>
        <v>129.53751162790698</v>
      </c>
    </row>
    <row r="118" spans="8:45">
      <c r="AC118" s="462"/>
    </row>
    <row r="119" spans="8:45">
      <c r="AC119" s="462" t="s">
        <v>261</v>
      </c>
      <c r="AD119" s="463">
        <f>SUMIFS(AD:AD,$E:$E,"Brand",$G:$G,"Yandex Direct")</f>
        <v>62965.07</v>
      </c>
      <c r="AE119" s="464">
        <f>SUMIFS(AE:AE,$E:$E,"Brand",$G:$G,"Yandex Direct")</f>
        <v>2988</v>
      </c>
      <c r="AF119" s="463">
        <f t="shared" ref="AF119:AF120" si="18">IFERROR(AD119/AE119,"-")</f>
        <v>21.072647255689425</v>
      </c>
      <c r="AG119" s="464">
        <f>SUMIFS(AG:AG,$E:$E,"Brand",$G:$G,"Yandex Direct")</f>
        <v>2411</v>
      </c>
      <c r="AH119" s="183">
        <f t="shared" ref="AH119:AH120" si="19">IFERROR((AE119-AG119)/AE119,"-")</f>
        <v>0.19310575635876839</v>
      </c>
      <c r="AI119" s="464">
        <f>SUMIFS(AI:AI,$E:$E,"Brand",$G:$G,"Yandex Direct")</f>
        <v>1590</v>
      </c>
      <c r="AJ119" s="183">
        <f t="shared" ref="AJ119:AJ120" si="20">IFERROR((AG119-AI119)/AG119,"-")</f>
        <v>0.34052260472832852</v>
      </c>
      <c r="AK119" s="463">
        <f t="shared" ref="AK119:AK120" si="21">IFERROR(AD119/AI119,"-")</f>
        <v>39.600672955974844</v>
      </c>
      <c r="AL119" s="464">
        <f>SUMIFS(AL:AL,$E:$E,"Brand",$G:$G,"Yandex Direct")</f>
        <v>759</v>
      </c>
      <c r="AM119" s="183">
        <f>IFERROR(AL119/AG119,"-")</f>
        <v>0.31480713396930732</v>
      </c>
      <c r="AN119" s="463">
        <f t="shared" ref="AN119:AN120" si="22">IFERROR(AD119/AL119,"-")</f>
        <v>82.957931488801052</v>
      </c>
    </row>
    <row r="120" spans="8:45">
      <c r="AC120" s="462" t="s">
        <v>262</v>
      </c>
      <c r="AD120" s="463">
        <f>SUMIFS(AD:AD,$E:$E,"Product",$G:$G,"Yandex Direct")</f>
        <v>133504.57000000004</v>
      </c>
      <c r="AE120" s="464">
        <f>SUMIFS(AE:AE,$E:$E,"Product",$G:$G,"Yandex Direct")</f>
        <v>5965</v>
      </c>
      <c r="AF120" s="463">
        <f t="shared" si="18"/>
        <v>22.381319362950549</v>
      </c>
      <c r="AG120" s="464">
        <f>SUMIFS(AG:AG,$E:$E,"Product",$G:$G,"Yandex Direct")</f>
        <v>5162</v>
      </c>
      <c r="AH120" s="183">
        <f t="shared" si="19"/>
        <v>0.13461860854987426</v>
      </c>
      <c r="AI120" s="464">
        <f>SUMIFS(AI:AI,$E:$E,"Product",$G:$G,"Yandex Direct")</f>
        <v>3031</v>
      </c>
      <c r="AJ120" s="183">
        <f t="shared" si="20"/>
        <v>0.41282448663308796</v>
      </c>
      <c r="AK120" s="463">
        <f t="shared" si="21"/>
        <v>44.046377433190379</v>
      </c>
      <c r="AL120" s="464">
        <f>SUMIFS(AL:AL,$E:$E,"Product",$G:$G,"Yandex Direct")</f>
        <v>956</v>
      </c>
      <c r="AM120" s="183">
        <f>IFERROR(AL120/AG120,"-")</f>
        <v>0.18519953506392872</v>
      </c>
      <c r="AN120" s="463">
        <f t="shared" si="22"/>
        <v>139.64913179916323</v>
      </c>
    </row>
    <row r="121" spans="8:45">
      <c r="AC121" s="462"/>
      <c r="AL121" s="607"/>
    </row>
    <row r="122" spans="8:45">
      <c r="AC122" s="462" t="s">
        <v>263</v>
      </c>
      <c r="AD122" s="463">
        <f>SUMIFS(AD:AD,$E:$E,"Brand",$G:$G,"Google Adwords")</f>
        <v>116126.36</v>
      </c>
      <c r="AE122" s="464">
        <f>SUMIFS(AE:AE,$E:$E,"Brand",$G:$G,"Google Adwords")</f>
        <v>3099</v>
      </c>
      <c r="AF122" s="463">
        <f t="shared" ref="AF122:AF123" si="23">IFERROR(AD122/AE122,"-")</f>
        <v>37.472203936753793</v>
      </c>
      <c r="AG122" s="464">
        <f>SUMIFS(AG:AG,$E:$E,"Brand",$G:$G,"Google Adwords")</f>
        <v>2543</v>
      </c>
      <c r="AH122" s="183">
        <f>IFERROR((AE122-AG122)/AE122,"-")</f>
        <v>0.17941271377863827</v>
      </c>
      <c r="AI122" s="464">
        <f>SUMIFS(AI:AI,$E:$E,"Brand",$G:$G,"Google Adwords")</f>
        <v>1522</v>
      </c>
      <c r="AJ122" s="183">
        <f t="shared" ref="AJ122:AJ123" si="24">IFERROR((AG122-AI122)/AG122,"-")</f>
        <v>0.40149429807314196</v>
      </c>
      <c r="AK122" s="463">
        <f t="shared" ref="AK122:AK123" si="25">IFERROR(AD122/AI122,"-")</f>
        <v>76.298528252299604</v>
      </c>
      <c r="AL122" s="464">
        <f>SUMIFS(AL:AL,$E:$E,"Brand",$G:$G,"Google Adwords")</f>
        <v>699</v>
      </c>
      <c r="AM122" s="183">
        <f>IFERROR(AL122/AG122,"-")</f>
        <v>0.27487219819111286</v>
      </c>
      <c r="AN122" s="463">
        <f t="shared" ref="AN122:AN123" si="26">IFERROR(AD122/AL122,"-")</f>
        <v>166.13213161659513</v>
      </c>
    </row>
    <row r="123" spans="8:45">
      <c r="AC123" s="462" t="s">
        <v>264</v>
      </c>
      <c r="AD123" s="463">
        <f>SUMIFS(AD:AD,$E:$E,"Product",$G:$G,"Google Adwords")</f>
        <v>188714.16999999998</v>
      </c>
      <c r="AE123" s="464">
        <f>SUMIFS(AE:AE,$E:$E,"Product",$G:$G,"Google Adwords")</f>
        <v>6942</v>
      </c>
      <c r="AF123" s="463">
        <f t="shared" si="23"/>
        <v>27.184409392106019</v>
      </c>
      <c r="AG123" s="464">
        <f>SUMIFS(AG:AG,$E:$E,"Product",$G:$G,"Google Adwords")</f>
        <v>6021</v>
      </c>
      <c r="AH123" s="183">
        <f>IFERROR((AE123-AG123)/AE123,"-")</f>
        <v>0.13267070008643042</v>
      </c>
      <c r="AI123" s="464">
        <f>SUMIFS(AI:AI,$E:$E,"Product",$G:$G,"Google Adwords")</f>
        <v>3427</v>
      </c>
      <c r="AJ123" s="183">
        <f t="shared" si="24"/>
        <v>0.43082544427835906</v>
      </c>
      <c r="AK123" s="463">
        <f t="shared" si="25"/>
        <v>55.066871899620658</v>
      </c>
      <c r="AL123" s="464">
        <f>SUMIFS(AL:AL,$E:$E,"Product",$G:$G,"Google Adwords")</f>
        <v>1456</v>
      </c>
      <c r="AM123" s="183">
        <f>IFERROR(AL123/AG123,"-")</f>
        <v>0.24182029563195481</v>
      </c>
      <c r="AN123" s="463">
        <f t="shared" si="26"/>
        <v>129.61138049450548</v>
      </c>
    </row>
    <row r="124" spans="8:45">
      <c r="R124" s="462" t="s">
        <v>265</v>
      </c>
      <c r="S124" s="463">
        <f>SUMIFS(S:S,$E:$E,"Network",$G:$G,"Yandex Direct")-S90</f>
        <v>98551.819999999992</v>
      </c>
      <c r="T124" s="464">
        <f>SUMIFS(T:T,$E:$E,"Network",$G:$G,"Yandex Direct")-T90</f>
        <v>12375</v>
      </c>
      <c r="U124" s="463">
        <f t="shared" ref="U124:U125" si="27">IFERROR(S124/T124,"-")</f>
        <v>7.9637834343434335</v>
      </c>
      <c r="V124" s="464">
        <f>SUMIFS(V:V,$E:$E,"Network",$G:$G,"Yandex Direct")-V90</f>
        <v>5411</v>
      </c>
      <c r="W124" s="183">
        <f t="shared" ref="W124" si="28">IFERROR((T124-V124)/T124,"-")</f>
        <v>0.56274747474747477</v>
      </c>
      <c r="X124" s="464">
        <f>SUMIFS(X:X,$E:$E,"Network",$G:$G,"Yandex Direct")-X90</f>
        <v>2593</v>
      </c>
      <c r="Y124" s="183">
        <f t="shared" ref="Y124:Y125" si="29">IFERROR((V124-X124)/V124,"-")</f>
        <v>0.520790981334319</v>
      </c>
      <c r="Z124" s="463">
        <f t="shared" ref="Z124:Z125" si="30">IFERROR(S124/X124,"-")</f>
        <v>38.006872348630928</v>
      </c>
      <c r="AA124" s="464">
        <f>SUMIFS(AA:AA,$E:$E,"Network",$G:$G,"Yandex Direct")-AA90</f>
        <v>332</v>
      </c>
      <c r="AB124" s="183">
        <f>IFERROR(AA124/V124,"-")</f>
        <v>6.1356496026612459E-2</v>
      </c>
      <c r="AC124" s="463">
        <f t="shared" ref="AC124:AC125" si="31">IFERROR(S124/AA124,"-")</f>
        <v>296.84283132530118</v>
      </c>
    </row>
    <row r="125" spans="8:45">
      <c r="R125" s="462" t="s">
        <v>266</v>
      </c>
      <c r="S125" s="463">
        <f>SUMIFS(S:S,$E:$E,"Network",$G:$G,"Google Adwords")-S94</f>
        <v>448409.12999999989</v>
      </c>
      <c r="T125" s="464">
        <f>SUMIFS(T:T,$E:$E,"Network",$G:$G,"Google Adwords")-T94</f>
        <v>58214</v>
      </c>
      <c r="U125" s="463">
        <f t="shared" si="27"/>
        <v>7.7027713264850357</v>
      </c>
      <c r="V125" s="464">
        <f>SUMIFS(V:V,$E:$E,"Network",$G:$G,"Google Adwords")-V94</f>
        <v>34323</v>
      </c>
      <c r="W125" s="183">
        <f>IFERROR((T125-V125)/T125,"-")</f>
        <v>0.41039956024324048</v>
      </c>
      <c r="X125" s="464">
        <f>SUMIFS(X:X,$E:$E,"Network",$G:$G,"Google Adwords")-X94</f>
        <v>17904</v>
      </c>
      <c r="Y125" s="183">
        <f t="shared" si="29"/>
        <v>0.47836727558779829</v>
      </c>
      <c r="Z125" s="463">
        <f t="shared" si="30"/>
        <v>25.045192694369966</v>
      </c>
      <c r="AA125" s="464">
        <f>SUMIFS(AA:AA,$E:$E,"Network",$G:$G,"Google Adwords")-AA94</f>
        <v>5405</v>
      </c>
      <c r="AB125" s="183">
        <f>IFERROR(AA125/V125,"-")</f>
        <v>0.15747457972787926</v>
      </c>
      <c r="AC125" s="463">
        <f t="shared" si="31"/>
        <v>82.961911193339475</v>
      </c>
    </row>
    <row r="127" spans="8:45">
      <c r="AC127" s="462" t="s">
        <v>265</v>
      </c>
      <c r="AD127" s="463">
        <f>AD119+AD120</f>
        <v>196469.64000000004</v>
      </c>
      <c r="AE127" s="464">
        <f>AE119+AE120</f>
        <v>8953</v>
      </c>
      <c r="AF127" s="463">
        <f t="shared" ref="AF127:AF128" si="32">IFERROR(AD127/AE127,"-")</f>
        <v>21.944559365575788</v>
      </c>
      <c r="AG127" s="464">
        <f>AG119+AG120</f>
        <v>7573</v>
      </c>
      <c r="AH127" s="183">
        <f t="shared" ref="AH127" si="33">IFERROR((AE127-AG127)/AE127,"-")</f>
        <v>0.15413827767228863</v>
      </c>
      <c r="AI127" s="464">
        <f>AI119+AI120</f>
        <v>4621</v>
      </c>
      <c r="AJ127" s="183">
        <f t="shared" ref="AJ127:AJ128" si="34">IFERROR((AG127-AI127)/AG127,"-")</f>
        <v>0.38980588934372112</v>
      </c>
      <c r="AK127" s="463">
        <f t="shared" ref="AK127:AK128" si="35">IFERROR(AD127/AI127,"-")</f>
        <v>42.516693356416368</v>
      </c>
      <c r="AL127" s="464">
        <f>AL119+AL120</f>
        <v>1715</v>
      </c>
      <c r="AM127" s="183">
        <f>IFERROR(AL127/AG127,"-")</f>
        <v>0.22646243232536642</v>
      </c>
      <c r="AN127" s="463">
        <f t="shared" ref="AN127:AN128" si="36">IFERROR(AD127/AL127,"-")</f>
        <v>114.55955685131198</v>
      </c>
    </row>
    <row r="128" spans="8:45">
      <c r="AC128" s="462" t="s">
        <v>266</v>
      </c>
      <c r="AD128" s="463">
        <f>AD122+AD123</f>
        <v>304840.52999999997</v>
      </c>
      <c r="AE128" s="464">
        <f>AE122+AE123</f>
        <v>10041</v>
      </c>
      <c r="AF128" s="463">
        <f t="shared" si="32"/>
        <v>30.359578727218402</v>
      </c>
      <c r="AG128" s="464">
        <f>AG122+AG123</f>
        <v>8564</v>
      </c>
      <c r="AH128" s="183">
        <f>IFERROR((AE128-AG128)/AE128,"-")</f>
        <v>0.14709690269893436</v>
      </c>
      <c r="AI128" s="464">
        <f>AI122+AI123</f>
        <v>4949</v>
      </c>
      <c r="AJ128" s="183">
        <f t="shared" si="34"/>
        <v>0.42211583372255956</v>
      </c>
      <c r="AK128" s="463">
        <f t="shared" si="35"/>
        <v>61.596389169529189</v>
      </c>
      <c r="AL128" s="464">
        <f>AL122+AL123</f>
        <v>2155</v>
      </c>
      <c r="AM128" s="183">
        <f>IFERROR(AL128/AG128,"-")</f>
        <v>0.25163475011676789</v>
      </c>
      <c r="AN128" s="463">
        <f t="shared" si="36"/>
        <v>141.45732250580045</v>
      </c>
    </row>
  </sheetData>
  <mergeCells count="17">
    <mergeCell ref="C71:C78"/>
    <mergeCell ref="C79:C86"/>
    <mergeCell ref="C87:C94"/>
    <mergeCell ref="C95:C102"/>
    <mergeCell ref="C103:C110"/>
    <mergeCell ref="C63:C70"/>
    <mergeCell ref="H1:R1"/>
    <mergeCell ref="S1:AC1"/>
    <mergeCell ref="AD1:AS1"/>
    <mergeCell ref="AT3:AU4"/>
    <mergeCell ref="C7:C14"/>
    <mergeCell ref="C15:C22"/>
    <mergeCell ref="C23:C30"/>
    <mergeCell ref="C31:C38"/>
    <mergeCell ref="C39:C46"/>
    <mergeCell ref="C47:C54"/>
    <mergeCell ref="C55:C62"/>
  </mergeCells>
  <conditionalFormatting sqref="AN7 AN15 AN23 AN31 AN39 AN47 AN55 AN63 AN71 AN79 AN87 AN95 AN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5 AB23 AB31 AB39 AB47 AB55 AB63 AB71 AB79 AB87 AB95 AB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 AM15 AM23 AM31 AM39 AM47 AM55 AM63 AM71 AM79 AM87 AM95 AM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O15 AO23 AO31 AO39 AO47 AO55 AO63 AO71 AO79 AO87 AO95 AO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 Q7 Q23 Q31 Q39 Q47 Q55 Q63 Q71 Q79 Q87 Q95 Q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 R15 R23 R31 R39 R47 R55 R63 R71 R79 R87 R95 R10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7 AC23 AC31 AC39 AC47 AC55 AC63 AC71 AC79 AC87 AC95 AC10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7D1F-ED64-4296-B5D8-6A7F14B2C754}">
  <dimension ref="A1"/>
  <sheetViews>
    <sheetView showGridLines="0" workbookViewId="0">
      <selection activeCell="M17" sqref="M17"/>
    </sheetView>
  </sheetViews>
  <sheetFormatPr defaultColWidth="8.77734375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2E59F107A6B428496351B82220F0E" ma:contentTypeVersion="5" ma:contentTypeDescription="Create a new document." ma:contentTypeScope="" ma:versionID="b690831c756f646f394b9c8a46abee8d">
  <xsd:schema xmlns:xsd="http://www.w3.org/2001/XMLSchema" xmlns:xs="http://www.w3.org/2001/XMLSchema" xmlns:p="http://schemas.microsoft.com/office/2006/metadata/properties" xmlns:ns3="905589e7-7df1-4f2e-9fb8-4559ee27f3e2" xmlns:ns4="2dd62e86-18c8-4097-a0fb-e2cb3104ab49" targetNamespace="http://schemas.microsoft.com/office/2006/metadata/properties" ma:root="true" ma:fieldsID="67b0c251220729b709670179222be52e" ns3:_="" ns4:_="">
    <xsd:import namespace="905589e7-7df1-4f2e-9fb8-4559ee27f3e2"/>
    <xsd:import namespace="2dd62e86-18c8-4097-a0fb-e2cb3104ab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589e7-7df1-4f2e-9fb8-4559ee27f3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62e86-18c8-4097-a0fb-e2cb3104a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3507B-E972-4981-AEFC-C7E3C7297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69B1D1-4901-41D6-BE58-9FC26FBF85CC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905589e7-7df1-4f2e-9fb8-4559ee27f3e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2dd62e86-18c8-4097-a0fb-e2cb3104ab4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C60A57-5389-4CBB-A8E7-504650881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589e7-7df1-4f2e-9fb8-4559ee27f3e2"/>
    <ds:schemaRef ds:uri="2dd62e86-18c8-4097-a0fb-e2cb3104a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SEM_Q1'21_Beauty</vt:lpstr>
      <vt:lpstr>Flowchart</vt:lpstr>
      <vt:lpstr>Heating Brush Q4</vt:lpstr>
      <vt:lpstr>Straightener Q4</vt:lpstr>
      <vt:lpstr>Hair Dryer Q4</vt:lpstr>
      <vt:lpstr>Femdep Q4</vt:lpstr>
      <vt:lpstr>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2022-02-02T10:08:56Z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0x01010074D2E59F107A6B428496351B82220F0E</vt:lpwstr>
  </property>
</Properties>
</file>