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lin\Downloads\"/>
    </mc:Choice>
  </mc:AlternateContent>
  <xr:revisionPtr revIDLastSave="0" documentId="13_ncr:1_{AF19F894-EDA7-4961-8101-5BAAABA91797}" xr6:coauthVersionLast="47" xr6:coauthVersionMax="47" xr10:uidLastSave="{00000000-0000-0000-0000-000000000000}"/>
  <bookViews>
    <workbookView xWindow="4910" yWindow="1550" windowWidth="26290" windowHeight="11320" activeTab="3" xr2:uid="{00000000-000D-0000-FFFF-FFFF00000000}"/>
  </bookViews>
  <sheets>
    <sheet name="INTERFACE (REQ)" sheetId="1" r:id="rId1"/>
    <sheet name="YOUR SHEET (OPT)" sheetId="4" r:id="rId2"/>
    <sheet name="MAGNETS (OPT)" sheetId="2" r:id="rId3"/>
    <sheet name="WIRES (OPT)" sheetId="3" r:id="rId4"/>
  </sheets>
  <definedNames>
    <definedName name="_xlnm._FilterDatabase" localSheetId="0" hidden="1">'INTERFACE (REQ)'!$A$1:$H$41</definedName>
    <definedName name="AWGList">'WIRES (OPT)'!$A$3:$A$46</definedName>
    <definedName name="Magnets">'MAGNETS (OPT)'!$A$3:$A$6</definedName>
    <definedName name="_xlnm.Print_Area" localSheetId="0">'INTERFACE (REQ)'!$A$1:$H$41</definedName>
    <definedName name="_xlnm.Print_Area" localSheetId="3">'WIRES (OPT)'!$A$1:$I$47</definedName>
    <definedName name="WindingList">'MAGNETS (OPT)'!#REF!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3" l="1"/>
  <c r="L28" i="3"/>
  <c r="L27" i="3"/>
  <c r="L26" i="3"/>
  <c r="K12" i="1"/>
  <c r="C12" i="1"/>
  <c r="G34" i="1"/>
  <c r="C33" i="1"/>
  <c r="G21" i="1" l="1" a="1"/>
  <c r="G21" i="1" s="1"/>
  <c r="J21" i="1" a="1"/>
  <c r="J21" i="1" s="1"/>
  <c r="G22" i="1" s="1" a="1"/>
  <c r="G22" i="1" s="1"/>
  <c r="K21" i="1" a="1"/>
  <c r="K21" i="1" s="1"/>
  <c r="G20" i="1" a="1"/>
  <c r="G20" i="1" s="1"/>
  <c r="C26" i="1"/>
  <c r="C29" i="1"/>
  <c r="C30" i="1"/>
  <c r="C31" i="1" s="1"/>
  <c r="C32" i="1" s="1"/>
  <c r="C25" i="1"/>
  <c r="G26" i="1" s="1"/>
  <c r="G4" i="2"/>
  <c r="G6" i="2"/>
  <c r="G7" i="2"/>
  <c r="G3" i="2"/>
  <c r="C28" i="1"/>
  <c r="C27" i="1"/>
  <c r="F4" i="2"/>
  <c r="F5" i="2"/>
  <c r="G5" i="2" s="1"/>
  <c r="F6" i="2"/>
  <c r="F7" i="2"/>
  <c r="F3" i="2"/>
  <c r="G28" i="1" l="1"/>
  <c r="G29" i="1" s="1"/>
  <c r="G38" i="1" s="1"/>
  <c r="G27" i="1"/>
  <c r="G23" i="1" l="1"/>
  <c r="G32" i="1" s="1"/>
  <c r="G35" i="1" l="1"/>
  <c r="G36" i="1" s="1"/>
  <c r="G37" i="1" s="1"/>
  <c r="G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<sst xmlns="http://schemas.openxmlformats.org/spreadsheetml/2006/main" count="176" uniqueCount="138">
  <si>
    <t>mm</t>
  </si>
  <si>
    <t>0000 (4/0)</t>
  </si>
  <si>
    <t>000 (3/0)</t>
  </si>
  <si>
    <t>00 (2/0)</t>
  </si>
  <si>
    <t>0 (1/0)</t>
  </si>
  <si>
    <t>AWG</t>
  </si>
  <si>
    <t>Nm</t>
  </si>
  <si>
    <t>rpm</t>
  </si>
  <si>
    <t>W</t>
  </si>
  <si>
    <t>Efficiency:</t>
  </si>
  <si>
    <t>#2522</t>
  </si>
  <si>
    <t>#3495</t>
  </si>
  <si>
    <t>#3460</t>
  </si>
  <si>
    <t>#3470</t>
  </si>
  <si>
    <t>G</t>
  </si>
  <si>
    <t>mWb</t>
  </si>
  <si>
    <t>Parameter</t>
  </si>
  <si>
    <t>Value</t>
  </si>
  <si>
    <t>Unit</t>
  </si>
  <si>
    <t>Group Details</t>
  </si>
  <si>
    <t xml:space="preserve">Members
</t>
  </si>
  <si>
    <t>Student Number</t>
  </si>
  <si>
    <t>First Name</t>
  </si>
  <si>
    <t>Last Name</t>
  </si>
  <si>
    <t>Contribution (Percent)</t>
  </si>
  <si>
    <t>INPUTS (Geometric Properties)</t>
  </si>
  <si>
    <t>Multiplex:</t>
  </si>
  <si>
    <t>Winding Type:</t>
  </si>
  <si>
    <t>INPUT (Magnetic Properties)</t>
  </si>
  <si>
    <t>INPUTS (Winding Properties)</t>
  </si>
  <si>
    <t>Magent type:</t>
  </si>
  <si>
    <t>OUTPUT (Intermediate Electromagnetic Properties)</t>
  </si>
  <si>
    <t>Wiress (AWG):</t>
  </si>
  <si>
    <t>Permanent Magnets:</t>
  </si>
  <si>
    <t>18 - 29</t>
  </si>
  <si>
    <t>Input and Output Properties</t>
  </si>
  <si>
    <t>Permissible Length of Wire:</t>
  </si>
  <si>
    <t>Group No.:</t>
  </si>
  <si>
    <t>CODE</t>
  </si>
  <si>
    <t>LM1614</t>
  </si>
  <si>
    <t>B (G)</t>
  </si>
  <si>
    <t>LENGTH (L) (mm)</t>
  </si>
  <si>
    <t>WIDTH (W) (mm)</t>
  </si>
  <si>
    <t>HEIGHT (mm)</t>
  </si>
  <si>
    <t>PHI (mWb)</t>
  </si>
  <si>
    <t>AVAILABLE MAGNETS</t>
  </si>
  <si>
    <t>Diameter</t>
  </si>
  <si>
    <t>(mm)</t>
  </si>
  <si>
    <t>(in)</t>
  </si>
  <si>
    <t>Turns of wire, without insulation</t>
  </si>
  <si>
    <t>(per in)</t>
  </si>
  <si>
    <t>(per cm)</t>
  </si>
  <si>
    <t>Area</t>
  </si>
  <si>
    <t>(kcmil)</t>
  </si>
  <si>
    <t>(mm^2)</t>
  </si>
  <si>
    <t>Resistance/Length</t>
  </si>
  <si>
    <r>
      <t>m</t>
    </r>
    <r>
      <rPr>
        <sz val="11"/>
        <color theme="1"/>
        <rFont val="Symbol"/>
        <family val="1"/>
        <charset val="2"/>
      </rPr>
      <t>W</t>
    </r>
    <r>
      <rPr>
        <sz val="12.65"/>
        <color theme="1"/>
        <rFont val="Calibri"/>
        <family val="2"/>
      </rPr>
      <t>/ft</t>
    </r>
  </si>
  <si>
    <r>
      <t>m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/m</t>
    </r>
  </si>
  <si>
    <r>
      <t>Length of rotor (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):</t>
    </r>
  </si>
  <si>
    <r>
      <t>Radius of Windings (</t>
    </r>
    <r>
      <rPr>
        <b/>
        <sz val="11"/>
        <color theme="1"/>
        <rFont val="Calibri"/>
        <family val="2"/>
        <scheme val="minor"/>
      </rPr>
      <t>r</t>
    </r>
    <r>
      <rPr>
        <b/>
        <vertAlign val="subscript"/>
        <sz val="11"/>
        <color theme="1"/>
        <rFont val="Calibri"/>
        <family val="2"/>
        <scheme val="minor"/>
      </rPr>
      <t>ave</t>
    </r>
    <r>
      <rPr>
        <sz val="11"/>
        <color theme="1"/>
        <rFont val="Calibri"/>
        <family val="2"/>
        <scheme val="minor"/>
      </rPr>
      <t>):</t>
    </r>
  </si>
  <si>
    <r>
      <t>No. of Poles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):</t>
    </r>
  </si>
  <si>
    <r>
      <t>Gauge of Wire (</t>
    </r>
    <r>
      <rPr>
        <b/>
        <sz val="11"/>
        <color theme="1"/>
        <rFont val="Calibri"/>
        <family val="2"/>
        <scheme val="minor"/>
      </rPr>
      <t>AWG</t>
    </r>
    <r>
      <rPr>
        <sz val="11"/>
        <color theme="1"/>
        <rFont val="Calibri"/>
        <family val="2"/>
        <scheme val="minor"/>
      </rPr>
      <t>):</t>
    </r>
  </si>
  <si>
    <r>
      <t>No. of coils of rotor (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):</t>
    </r>
  </si>
  <si>
    <r>
      <t>No. of turns of wire per coil (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):</t>
    </r>
  </si>
  <si>
    <r>
      <t>No. of conductors (</t>
    </r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):</t>
    </r>
  </si>
  <si>
    <r>
      <t>No. of Parallel Paths 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):</t>
    </r>
  </si>
  <si>
    <r>
      <t>Winding Angle Lap (</t>
    </r>
    <r>
      <rPr>
        <b/>
        <sz val="11"/>
        <color theme="1"/>
        <rFont val="Calibri"/>
        <family val="2"/>
        <scheme val="minor"/>
      </rPr>
      <t>θ</t>
    </r>
    <r>
      <rPr>
        <b/>
        <vertAlign val="subscript"/>
        <sz val="11"/>
        <color theme="1"/>
        <rFont val="Calibri"/>
        <family val="2"/>
        <scheme val="minor"/>
      </rPr>
      <t>w,L</t>
    </r>
    <r>
      <rPr>
        <sz val="11"/>
        <color theme="1"/>
        <rFont val="Calibri"/>
        <family val="2"/>
        <scheme val="minor"/>
      </rPr>
      <t>):</t>
    </r>
  </si>
  <si>
    <r>
      <t>Winding Angle Wave (</t>
    </r>
    <r>
      <rPr>
        <b/>
        <sz val="11"/>
        <color theme="1"/>
        <rFont val="Calibri"/>
        <family val="2"/>
      </rPr>
      <t>θ</t>
    </r>
    <r>
      <rPr>
        <b/>
        <vertAlign val="subscript"/>
        <sz val="11"/>
        <color theme="1"/>
        <rFont val="Calibri"/>
        <family val="2"/>
        <scheme val="minor"/>
      </rPr>
      <t>w,w</t>
    </r>
    <r>
      <rPr>
        <sz val="11"/>
        <color theme="1"/>
        <rFont val="Calibri"/>
        <family val="2"/>
        <scheme val="minor"/>
      </rPr>
      <t>):</t>
    </r>
  </si>
  <si>
    <r>
      <t>Chord Length (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):</t>
    </r>
  </si>
  <si>
    <t>Length of 1 coil:</t>
  </si>
  <si>
    <t>Cross section of coils inside slot:</t>
  </si>
  <si>
    <r>
      <t>Length of 1 turn (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>):</t>
    </r>
  </si>
  <si>
    <r>
      <t>Length of all coils (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):</t>
    </r>
  </si>
  <si>
    <r>
      <t>Rotor Laminations (r</t>
    </r>
    <r>
      <rPr>
        <b/>
        <vertAlign val="subscript"/>
        <sz val="11"/>
        <color theme="1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>,r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>):</t>
    </r>
  </si>
  <si>
    <r>
      <t>Input Power (</t>
    </r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):</t>
    </r>
  </si>
  <si>
    <r>
      <t>Motor may actually produce (</t>
    </r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):</t>
    </r>
  </si>
  <si>
    <r>
      <t>Maximum Produced Power (</t>
    </r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):</t>
    </r>
  </si>
  <si>
    <r>
      <t>Rotational Speed at Max Torque (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r,fl</t>
    </r>
    <r>
      <rPr>
        <sz val="11"/>
        <color theme="1"/>
        <rFont val="Calibri"/>
        <family val="2"/>
        <scheme val="minor"/>
      </rPr>
      <t>):</t>
    </r>
  </si>
  <si>
    <r>
      <t>Maximum Rotational Speed (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r,max</t>
    </r>
    <r>
      <rPr>
        <sz val="11"/>
        <color theme="1"/>
        <rFont val="Calibri"/>
        <family val="2"/>
        <scheme val="minor"/>
      </rPr>
      <t>):</t>
    </r>
  </si>
  <si>
    <r>
      <t>Maximum Generated Torque (</t>
    </r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):</t>
    </r>
  </si>
  <si>
    <t>INPUT (Electrical Properties)</t>
  </si>
  <si>
    <t>OUTPUT (Intermediate Winding Properties)</t>
  </si>
  <si>
    <t>OUTPUT (Intermediate Magnetic Properties)</t>
  </si>
  <si>
    <t>OUTPUT (Final Electromagnetic Properties)</t>
  </si>
  <si>
    <t>EGB241 EXCEL ASSIGNMENT INTERFACE FILE</t>
  </si>
  <si>
    <t>By: Farzad Farajizadeh (20.04.2019)</t>
  </si>
  <si>
    <t>Rad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</si>
  <si>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</si>
  <si>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A/mm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</si>
  <si>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</si>
  <si>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 (LxW) (cm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</si>
  <si>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1/Rad</t>
  </si>
  <si>
    <t>Rad/sec</t>
  </si>
  <si>
    <t>Number of Laminations per kit:</t>
  </si>
  <si>
    <t>Available Components</t>
  </si>
  <si>
    <t>#2522, #3495, #3460, #3470, LM1614</t>
  </si>
  <si>
    <t>(15 mm, 30 mm)</t>
  </si>
  <si>
    <t>45 m</t>
  </si>
  <si>
    <t>(5 / 1 mm), (6 / 1 mm), (8 / 1.2 mm)</t>
  </si>
  <si>
    <t>Rotor Laminations (slots / thickness):</t>
  </si>
  <si>
    <r>
      <t>Rotational Speed at Max Torque (</t>
    </r>
    <r>
      <rPr>
        <b/>
        <sz val="11"/>
        <color theme="1"/>
        <rFont val="Calibri"/>
        <family val="2"/>
        <scheme val="minor"/>
      </rPr>
      <t>w</t>
    </r>
    <r>
      <rPr>
        <b/>
        <vertAlign val="subscript"/>
        <sz val="11"/>
        <color theme="1"/>
        <rFont val="Calibri"/>
        <family val="2"/>
        <scheme val="minor"/>
      </rPr>
      <t>r,fl</t>
    </r>
    <r>
      <rPr>
        <sz val="11"/>
        <color theme="1"/>
        <rFont val="Calibri"/>
        <family val="2"/>
        <scheme val="minor"/>
      </rPr>
      <t>):</t>
    </r>
  </si>
  <si>
    <t>Submission Date:</t>
  </si>
  <si>
    <t>Semester:</t>
  </si>
  <si>
    <r>
      <t>Maximum Current Density (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):</t>
    </r>
  </si>
  <si>
    <t>Status (Should be filled by Tutors):</t>
  </si>
  <si>
    <t>CORRECT</t>
  </si>
  <si>
    <t>WRONG</t>
  </si>
  <si>
    <t>ASSESSMENT FLAGS:</t>
  </si>
  <si>
    <t>DD/MM/YYYY</t>
  </si>
  <si>
    <t>MARKED BY:</t>
  </si>
  <si>
    <t>m (&lt; 45 m)</t>
  </si>
  <si>
    <r>
      <t>Motor Constant (</t>
    </r>
    <r>
      <rPr>
        <b/>
        <sz val="11"/>
        <color theme="1"/>
        <rFont val="Calibri"/>
        <family val="2"/>
        <scheme val="minor"/>
      </rPr>
      <t>K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):</t>
    </r>
  </si>
  <si>
    <r>
      <t>Motor Constant (</t>
    </r>
    <r>
      <rPr>
        <b/>
        <sz val="11"/>
        <color theme="1"/>
        <rFont val="Calibri"/>
        <family val="2"/>
        <scheme val="minor"/>
      </rPr>
      <t>K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):</t>
    </r>
  </si>
  <si>
    <r>
      <t>Resistance of Armature (</t>
    </r>
    <r>
      <rPr>
        <b/>
        <sz val="11"/>
        <color theme="1"/>
        <rFont val="Calibri"/>
        <family val="2"/>
        <scheme val="minor"/>
      </rPr>
      <t>R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):</t>
    </r>
  </si>
  <si>
    <r>
      <t>Maximum Armature Current (</t>
    </r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a,max</t>
    </r>
    <r>
      <rPr>
        <sz val="11"/>
        <color theme="1"/>
        <rFont val="Calibri"/>
        <family val="2"/>
        <scheme val="minor"/>
      </rPr>
      <t>):</t>
    </r>
  </si>
  <si>
    <r>
      <t>Flux passing through rotor (</t>
    </r>
    <r>
      <rPr>
        <b/>
        <sz val="11"/>
        <color theme="1"/>
        <rFont val="Calibri"/>
        <family val="2"/>
      </rPr>
      <t>φ</t>
    </r>
    <r>
      <rPr>
        <b/>
        <vertAlign val="subscript"/>
        <sz val="11"/>
        <color theme="1"/>
        <rFont val="Calibri"/>
        <family val="2"/>
        <scheme val="minor"/>
      </rPr>
      <t>linkage</t>
    </r>
    <r>
      <rPr>
        <sz val="11"/>
        <color theme="1"/>
        <rFont val="Calibri"/>
        <family val="2"/>
        <scheme val="minor"/>
      </rPr>
      <t>):</t>
    </r>
  </si>
  <si>
    <r>
      <t>Total flux of magnet (</t>
    </r>
    <r>
      <rPr>
        <b/>
        <sz val="11"/>
        <color theme="1"/>
        <rFont val="Calibri"/>
        <family val="2"/>
        <scheme val="minor"/>
      </rPr>
      <t>φ</t>
    </r>
    <r>
      <rPr>
        <b/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):</t>
    </r>
  </si>
  <si>
    <r>
      <t>Area of magnet surface 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):</t>
    </r>
  </si>
  <si>
    <r>
      <t>Flux density at surface (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):</t>
    </r>
  </si>
  <si>
    <r>
      <t>Terminal Voltage (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):</t>
    </r>
  </si>
  <si>
    <r>
      <t>Degradation Factor (</t>
    </r>
    <r>
      <rPr>
        <b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):</t>
    </r>
  </si>
  <si>
    <r>
      <t>Percent of flux leakage (</t>
    </r>
    <r>
      <rPr>
        <b/>
        <sz val="11"/>
        <color theme="1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>):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</si>
  <si>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a,max </t>
    </r>
    <r>
      <rPr>
        <sz val="11"/>
        <color theme="1"/>
        <rFont val="Calibri"/>
        <family val="2"/>
        <scheme val="minor"/>
      </rPr>
      <t>(A) =  JxAxa</t>
    </r>
  </si>
  <si>
    <t>A</t>
  </si>
  <si>
    <t>V</t>
  </si>
  <si>
    <t>ERROR CHECK</t>
  </si>
  <si>
    <t>n11042338</t>
  </si>
  <si>
    <t>Nicklin</t>
  </si>
  <si>
    <t>Creese</t>
  </si>
  <si>
    <t>Lap Wound</t>
  </si>
  <si>
    <t xml:space="preserve">Melvin </t>
  </si>
  <si>
    <t>Siby</t>
  </si>
  <si>
    <t>Morgan</t>
  </si>
  <si>
    <t>Street</t>
  </si>
  <si>
    <t>Quinn</t>
  </si>
  <si>
    <t>Sweeney</t>
  </si>
  <si>
    <t>n10749845</t>
  </si>
  <si>
    <t>1+Lg/Am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</si>
</sst>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.65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0EB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DEC"/>
        <bgColor indexed="64"/>
      </patternFill>
    </fill>
    <fill>
      <patternFill patternType="solid">
        <fgColor rgb="FFF2F6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FE2"/>
        <bgColor indexed="64"/>
      </patternFill>
    </fill>
    <fill>
      <patternFill patternType="solid">
        <fgColor rgb="FFEEEC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7FA"/>
        <bgColor indexed="64"/>
      </patternFill>
    </fill>
    <fill>
      <patternFill patternType="solid">
        <fgColor rgb="FFFEFFEB"/>
        <bgColor indexed="64"/>
      </patternFill>
    </fill>
    <fill>
      <patternFill patternType="solid">
        <fgColor rgb="FFF1EF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5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theme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1">
    <xf numFmtId="0" fontId="0" fillId="0" borderId="0" xfId="0"/>
    <xf numFmtId="9" fontId="0" fillId="0" borderId="0" xfId="1" applyFont="1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11" xfId="0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/>
    <xf numFmtId="0" fontId="0" fillId="6" borderId="11" xfId="0" applyFill="1" applyBorder="1"/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7" borderId="7" xfId="0" applyFill="1" applyBorder="1"/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9" borderId="7" xfId="0" applyFill="1" applyBorder="1"/>
    <xf numFmtId="9" fontId="0" fillId="9" borderId="9" xfId="0" applyNumberFormat="1" applyFill="1" applyBorder="1" applyAlignment="1">
      <alignment horizontal="center" vertical="center"/>
    </xf>
    <xf numFmtId="0" fontId="0" fillId="9" borderId="11" xfId="0" applyFill="1" applyBorder="1"/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10" borderId="11" xfId="0" applyFill="1" applyBorder="1"/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0" fillId="13" borderId="7" xfId="0" applyFill="1" applyBorder="1"/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14" borderId="11" xfId="0" applyFill="1" applyBorder="1"/>
    <xf numFmtId="0" fontId="0" fillId="7" borderId="4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10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9" fontId="0" fillId="10" borderId="9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2" borderId="23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9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31" xfId="0" applyFont="1" applyFill="1" applyBorder="1" applyAlignment="1">
      <alignment horizontal="center" wrapText="1"/>
    </xf>
    <xf numFmtId="0" fontId="3" fillId="5" borderId="20" xfId="0" applyFont="1" applyFill="1" applyBorder="1" applyAlignment="1">
      <alignment horizontal="center" wrapText="1"/>
    </xf>
    <xf numFmtId="0" fontId="3" fillId="5" borderId="21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 wrapText="1"/>
    </xf>
    <xf numFmtId="0" fontId="3" fillId="5" borderId="24" xfId="0" applyFont="1" applyFill="1" applyBorder="1" applyAlignment="1">
      <alignment horizontal="center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3" fillId="5" borderId="27" xfId="0" applyFont="1" applyFill="1" applyBorder="1" applyAlignment="1">
      <alignment horizontal="center" wrapText="1"/>
    </xf>
    <xf numFmtId="0" fontId="3" fillId="5" borderId="28" xfId="0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wrapText="1"/>
    </xf>
    <xf numFmtId="0" fontId="3" fillId="2" borderId="34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 wrapText="1"/>
    </xf>
    <xf numFmtId="0" fontId="0" fillId="0" borderId="0" xfId="0" applyProtection="1">
      <protection locked="0"/>
    </xf>
    <xf numFmtId="0" fontId="2" fillId="3" borderId="4" xfId="0" applyFont="1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6" fillId="13" borderId="6" xfId="0" applyFont="1" applyFill="1" applyBorder="1" applyAlignment="1">
      <alignment vertical="center"/>
    </xf>
    <xf numFmtId="0" fontId="2" fillId="3" borderId="8" xfId="0" applyFont="1" applyFill="1" applyBorder="1"/>
    <xf numFmtId="0" fontId="0" fillId="11" borderId="7" xfId="0" applyFill="1" applyBorder="1"/>
    <xf numFmtId="0" fontId="2" fillId="3" borderId="39" xfId="0" applyFont="1" applyFill="1" applyBorder="1" applyAlignment="1">
      <alignment horizontal="right" vertical="center"/>
    </xf>
    <xf numFmtId="0" fontId="2" fillId="3" borderId="46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3" fillId="10" borderId="5" xfId="0" applyFont="1" applyFill="1" applyBorder="1" applyAlignment="1" applyProtection="1">
      <alignment horizontal="center" vertical="center"/>
      <protection locked="0"/>
    </xf>
    <xf numFmtId="0" fontId="12" fillId="4" borderId="5" xfId="0" applyFont="1" applyFill="1" applyBorder="1" applyAlignment="1" applyProtection="1">
      <alignment horizontal="center" vertical="center"/>
      <protection locked="0"/>
    </xf>
    <xf numFmtId="0" fontId="12" fillId="4" borderId="9" xfId="0" applyFont="1" applyFill="1" applyBorder="1" applyAlignment="1" applyProtection="1">
      <alignment horizontal="center" vertical="center"/>
      <protection locked="0"/>
    </xf>
    <xf numFmtId="0" fontId="12" fillId="6" borderId="5" xfId="0" applyFont="1" applyFill="1" applyBorder="1" applyAlignment="1" applyProtection="1">
      <alignment horizontal="center" vertical="center"/>
      <protection locked="0"/>
    </xf>
    <xf numFmtId="0" fontId="12" fillId="6" borderId="9" xfId="0" applyFont="1" applyFill="1" applyBorder="1" applyAlignment="1" applyProtection="1">
      <alignment horizontal="center" vertical="center"/>
      <protection locked="0"/>
    </xf>
    <xf numFmtId="0" fontId="12" fillId="11" borderId="5" xfId="0" applyFont="1" applyFill="1" applyBorder="1" applyAlignment="1" applyProtection="1">
      <alignment horizontal="center" vertical="center"/>
      <protection locked="0"/>
    </xf>
    <xf numFmtId="0" fontId="12" fillId="7" borderId="5" xfId="0" applyFont="1" applyFill="1" applyBorder="1" applyAlignment="1" applyProtection="1">
      <alignment horizontal="center" vertical="center"/>
      <protection locked="0"/>
    </xf>
    <xf numFmtId="0" fontId="12" fillId="7" borderId="9" xfId="0" applyFont="1" applyFill="1" applyBorder="1" applyAlignment="1" applyProtection="1">
      <alignment horizontal="center" vertical="center"/>
      <protection locked="0"/>
    </xf>
    <xf numFmtId="9" fontId="12" fillId="9" borderId="5" xfId="0" applyNumberFormat="1" applyFont="1" applyFill="1" applyBorder="1" applyAlignment="1" applyProtection="1">
      <alignment horizontal="center" vertical="center"/>
      <protection locked="0"/>
    </xf>
    <xf numFmtId="0" fontId="12" fillId="12" borderId="5" xfId="0" applyFont="1" applyFill="1" applyBorder="1" applyAlignment="1" applyProtection="1">
      <alignment horizontal="center" vertical="center"/>
      <protection locked="0"/>
    </xf>
    <xf numFmtId="0" fontId="12" fillId="12" borderId="9" xfId="0" applyFont="1" applyFill="1" applyBorder="1" applyAlignment="1" applyProtection="1">
      <alignment horizontal="center" vertical="center"/>
      <protection locked="0"/>
    </xf>
    <xf numFmtId="0" fontId="12" fillId="13" borderId="5" xfId="0" applyFont="1" applyFill="1" applyBorder="1" applyAlignment="1" applyProtection="1">
      <alignment horizontal="center" vertical="center"/>
      <protection locked="0"/>
    </xf>
    <xf numFmtId="0" fontId="12" fillId="13" borderId="9" xfId="0" applyFont="1" applyFill="1" applyBorder="1" applyAlignment="1" applyProtection="1">
      <alignment horizontal="center" vertical="center"/>
      <protection locked="0"/>
    </xf>
    <xf numFmtId="0" fontId="12" fillId="14" borderId="5" xfId="0" applyFont="1" applyFill="1" applyBorder="1" applyAlignment="1" applyProtection="1">
      <alignment horizontal="center" vertical="center"/>
      <protection locked="0"/>
    </xf>
    <xf numFmtId="0" fontId="12" fillId="14" borderId="9" xfId="0" applyFont="1" applyFill="1" applyBorder="1" applyAlignment="1" applyProtection="1">
      <alignment horizontal="center" vertical="center"/>
      <protection locked="0"/>
    </xf>
    <xf numFmtId="0" fontId="2" fillId="0" borderId="4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/>
    </xf>
    <xf numFmtId="0" fontId="12" fillId="3" borderId="5" xfId="0" applyFont="1" applyFill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12" fillId="3" borderId="46" xfId="0" applyFont="1" applyFill="1" applyBorder="1" applyAlignment="1" applyProtection="1">
      <alignment horizontal="center" vertical="center"/>
      <protection locked="0"/>
    </xf>
    <xf numFmtId="14" fontId="12" fillId="3" borderId="47" xfId="0" applyNumberFormat="1" applyFont="1" applyFill="1" applyBorder="1" applyAlignment="1" applyProtection="1">
      <alignment horizontal="center" vertical="center"/>
      <protection locked="0"/>
    </xf>
    <xf numFmtId="0" fontId="0" fillId="0" borderId="51" xfId="0" applyBorder="1" applyProtection="1">
      <protection locked="0"/>
    </xf>
    <xf numFmtId="0" fontId="0" fillId="0" borderId="52" xfId="0" applyBorder="1" applyProtection="1">
      <protection locked="0"/>
    </xf>
    <xf numFmtId="0" fontId="2" fillId="17" borderId="43" xfId="0" applyFont="1" applyFill="1" applyBorder="1" applyAlignment="1">
      <alignment horizontal="center" vertical="center"/>
    </xf>
    <xf numFmtId="0" fontId="2" fillId="16" borderId="44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11" borderId="6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5" borderId="42" xfId="0" applyFont="1" applyFill="1" applyBorder="1" applyAlignment="1">
      <alignment horizontal="center" vertical="center"/>
    </xf>
    <xf numFmtId="0" fontId="2" fillId="15" borderId="43" xfId="0" applyFont="1" applyFill="1" applyBorder="1" applyAlignment="1">
      <alignment horizontal="center" vertical="center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0" fillId="0" borderId="4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50" xfId="0" applyFont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2" fillId="3" borderId="5" xfId="0" applyFont="1" applyFill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0" fillId="14" borderId="18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10" borderId="19" xfId="0" applyFill="1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2" fillId="8" borderId="12" xfId="0" applyFont="1" applyFill="1" applyBorder="1" applyAlignment="1">
      <alignment horizontal="center" vertical="center" textRotation="90"/>
    </xf>
    <xf numFmtId="0" fontId="2" fillId="8" borderId="13" xfId="0" applyFont="1" applyFill="1" applyBorder="1" applyAlignment="1">
      <alignment horizontal="center" vertical="center" textRotation="90"/>
    </xf>
    <xf numFmtId="0" fontId="2" fillId="8" borderId="14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left" vertical="center" textRotation="90" wrapText="1"/>
    </xf>
    <xf numFmtId="0" fontId="2" fillId="3" borderId="4" xfId="0" applyFont="1" applyFill="1" applyBorder="1" applyAlignment="1">
      <alignment horizontal="left" vertical="center" textRotation="90" wrapText="1"/>
    </xf>
    <xf numFmtId="0" fontId="2" fillId="3" borderId="8" xfId="0" applyFont="1" applyFill="1" applyBorder="1" applyAlignment="1">
      <alignment horizontal="left" vertical="center" textRotation="90" wrapText="1"/>
    </xf>
    <xf numFmtId="0" fontId="2" fillId="0" borderId="48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12" borderId="15" xfId="0" applyFill="1" applyBorder="1" applyAlignment="1">
      <alignment horizontal="left" vertical="center"/>
    </xf>
    <xf numFmtId="0" fontId="0" fillId="12" borderId="19" xfId="0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9" fontId="12" fillId="3" borderId="5" xfId="0" applyNumberFormat="1" applyFont="1" applyFill="1" applyBorder="1" applyAlignment="1" applyProtection="1">
      <alignment horizontal="center" vertical="center"/>
      <protection locked="0"/>
    </xf>
    <xf numFmtId="0" fontId="12" fillId="3" borderId="6" xfId="0" applyFont="1" applyFill="1" applyBorder="1" applyAlignment="1" applyProtection="1">
      <alignment horizontal="center" vertical="center"/>
      <protection locked="0"/>
    </xf>
    <xf numFmtId="9" fontId="12" fillId="0" borderId="5" xfId="0" applyNumberFormat="1" applyFont="1" applyBorder="1" applyAlignment="1" applyProtection="1">
      <alignment horizontal="center" vertical="center"/>
      <protection locked="0"/>
    </xf>
    <xf numFmtId="0" fontId="12" fillId="0" borderId="6" xfId="0" applyFont="1" applyBorder="1" applyAlignment="1" applyProtection="1">
      <alignment horizontal="center" vertical="center"/>
      <protection locked="0"/>
    </xf>
    <xf numFmtId="9" fontId="12" fillId="3" borderId="55" xfId="0" applyNumberFormat="1" applyFont="1" applyFill="1" applyBorder="1" applyAlignment="1" applyProtection="1">
      <alignment horizontal="center" vertical="center"/>
      <protection locked="0"/>
    </xf>
    <xf numFmtId="0" fontId="12" fillId="3" borderId="56" xfId="0" applyFont="1" applyFill="1" applyBorder="1" applyAlignment="1" applyProtection="1">
      <alignment horizontal="center" vertical="center"/>
      <protection locked="0"/>
    </xf>
    <xf numFmtId="0" fontId="12" fillId="3" borderId="10" xfId="0" applyFont="1" applyFill="1" applyBorder="1" applyAlignment="1" applyProtection="1">
      <alignment horizontal="center" vertical="center"/>
      <protection locked="0"/>
    </xf>
    <xf numFmtId="0" fontId="0" fillId="14" borderId="19" xfId="0" applyFill="1" applyBorder="1" applyAlignment="1">
      <alignment horizontal="left" vertical="center"/>
    </xf>
    <xf numFmtId="0" fontId="0" fillId="14" borderId="9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2" fillId="3" borderId="4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53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38" xfId="0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6FF66"/>
      <color rgb="FFF1EFE7"/>
      <color rgb="FFFEFFEB"/>
      <color rgb="FFFFE7FA"/>
      <color rgb="FFFFDDFF"/>
      <color rgb="FFEEECE2"/>
      <color rgb="FFFEEFE2"/>
      <color rgb="FFF2F6EA"/>
      <color rgb="FFF8EDEC"/>
      <color rgb="FFE0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3"/>
  <sheetViews>
    <sheetView topLeftCell="A16" zoomScale="81" zoomScaleNormal="100" zoomScaleSheetLayoutView="85" workbookViewId="0">
      <selection activeCell="B23" sqref="B23:D23"/>
    </sheetView>
  </sheetViews>
  <sheetFormatPr defaultRowHeight="19.5" customHeight="1" x14ac:dyDescent="0.35"/>
  <cols>
    <col min="1" max="1" width="3.54296875" customWidth="1"/>
    <col min="2" max="2" width="34.7265625" customWidth="1"/>
    <col min="3" max="8" width="17.7265625" customWidth="1"/>
    <col min="10" max="10" width="6.7265625" bestFit="1" customWidth="1"/>
    <col min="11" max="11" width="6.7265625" customWidth="1"/>
    <col min="12" max="12" width="5" bestFit="1" customWidth="1"/>
    <col min="13" max="13" width="15.08984375" bestFit="1" customWidth="1"/>
    <col min="14" max="14" width="15.36328125" bestFit="1" customWidth="1"/>
    <col min="15" max="15" width="12.1796875" bestFit="1" customWidth="1"/>
    <col min="16" max="16" width="12.453125" bestFit="1" customWidth="1"/>
    <col min="17" max="17" width="11.08984375" bestFit="1" customWidth="1"/>
  </cols>
  <sheetData>
    <row r="1" spans="1:11" ht="19.5" customHeight="1" thickTop="1" thickBot="1" x14ac:dyDescent="0.4">
      <c r="B1" s="193" t="s">
        <v>84</v>
      </c>
      <c r="C1" s="194"/>
      <c r="D1" s="194"/>
      <c r="E1" s="194"/>
      <c r="F1" s="194"/>
      <c r="G1" s="194"/>
      <c r="H1" s="195"/>
    </row>
    <row r="2" spans="1:11" s="2" customFormat="1" ht="19.5" customHeight="1" thickTop="1" thickBot="1" x14ac:dyDescent="0.4">
      <c r="B2" s="126" t="s">
        <v>19</v>
      </c>
      <c r="C2" s="127"/>
      <c r="D2" s="128"/>
      <c r="E2" s="129" t="s">
        <v>104</v>
      </c>
      <c r="F2" s="130"/>
      <c r="G2" s="131"/>
      <c r="H2" s="132"/>
    </row>
    <row r="3" spans="1:11" ht="19.5" customHeight="1" thickTop="1" thickBot="1" x14ac:dyDescent="0.4">
      <c r="B3" s="95" t="s">
        <v>37</v>
      </c>
      <c r="C3" s="196"/>
      <c r="D3" s="197"/>
      <c r="E3" s="96" t="s">
        <v>102</v>
      </c>
      <c r="F3" s="118"/>
      <c r="G3" s="96" t="s">
        <v>101</v>
      </c>
      <c r="H3" s="119" t="s">
        <v>108</v>
      </c>
    </row>
    <row r="4" spans="1:11" ht="19.5" customHeight="1" thickTop="1" x14ac:dyDescent="0.35">
      <c r="A4" s="152" t="s">
        <v>20</v>
      </c>
      <c r="B4" s="97" t="s">
        <v>21</v>
      </c>
      <c r="C4" s="155" t="s">
        <v>22</v>
      </c>
      <c r="D4" s="155"/>
      <c r="E4" s="155" t="s">
        <v>23</v>
      </c>
      <c r="F4" s="155"/>
      <c r="G4" s="155" t="s">
        <v>24</v>
      </c>
      <c r="H4" s="173"/>
    </row>
    <row r="5" spans="1:11" ht="19.5" customHeight="1" x14ac:dyDescent="0.35">
      <c r="A5" s="153"/>
      <c r="B5" s="115" t="s">
        <v>126</v>
      </c>
      <c r="C5" s="140" t="s">
        <v>127</v>
      </c>
      <c r="D5" s="140"/>
      <c r="E5" s="140" t="s">
        <v>128</v>
      </c>
      <c r="F5" s="140"/>
      <c r="G5" s="179">
        <v>0.25</v>
      </c>
      <c r="H5" s="180"/>
    </row>
    <row r="6" spans="1:11" ht="19.5" customHeight="1" x14ac:dyDescent="0.35">
      <c r="A6" s="153"/>
      <c r="B6" s="116"/>
      <c r="C6" s="141" t="s">
        <v>130</v>
      </c>
      <c r="D6" s="141"/>
      <c r="E6" s="141" t="s">
        <v>131</v>
      </c>
      <c r="F6" s="141"/>
      <c r="G6" s="181">
        <v>0.25</v>
      </c>
      <c r="H6" s="182"/>
    </row>
    <row r="7" spans="1:11" ht="19.5" customHeight="1" x14ac:dyDescent="0.35">
      <c r="A7" s="153"/>
      <c r="B7" s="115"/>
      <c r="C7" s="140" t="s">
        <v>132</v>
      </c>
      <c r="D7" s="140"/>
      <c r="E7" s="140" t="s">
        <v>133</v>
      </c>
      <c r="F7" s="140"/>
      <c r="G7" s="183">
        <v>0.25</v>
      </c>
      <c r="H7" s="184"/>
    </row>
    <row r="8" spans="1:11" ht="19.5" customHeight="1" x14ac:dyDescent="0.35">
      <c r="A8" s="153"/>
      <c r="B8" s="116" t="s">
        <v>136</v>
      </c>
      <c r="C8" s="141" t="s">
        <v>134</v>
      </c>
      <c r="D8" s="141"/>
      <c r="E8" s="141" t="s">
        <v>135</v>
      </c>
      <c r="F8" s="141"/>
      <c r="G8" s="181">
        <v>0.25</v>
      </c>
      <c r="H8" s="182"/>
    </row>
    <row r="9" spans="1:11" ht="19.5" customHeight="1" thickBot="1" x14ac:dyDescent="0.4">
      <c r="A9" s="154"/>
      <c r="B9" s="117"/>
      <c r="C9" s="142"/>
      <c r="D9" s="142"/>
      <c r="E9" s="142"/>
      <c r="F9" s="142"/>
      <c r="G9" s="142"/>
      <c r="H9" s="185"/>
    </row>
    <row r="10" spans="1:11" ht="19.5" customHeight="1" thickTop="1" x14ac:dyDescent="0.35">
      <c r="A10" s="149" t="s">
        <v>35</v>
      </c>
      <c r="B10" s="161" t="s">
        <v>25</v>
      </c>
      <c r="C10" s="162"/>
      <c r="D10" s="163"/>
      <c r="E10" s="205" t="s">
        <v>28</v>
      </c>
      <c r="F10" s="206"/>
      <c r="G10" s="206"/>
      <c r="H10" s="207"/>
    </row>
    <row r="11" spans="1:11" ht="19.5" customHeight="1" x14ac:dyDescent="0.35">
      <c r="A11" s="150"/>
      <c r="B11" s="8" t="s">
        <v>16</v>
      </c>
      <c r="C11" s="9" t="s">
        <v>17</v>
      </c>
      <c r="D11" s="10" t="s">
        <v>18</v>
      </c>
      <c r="E11" s="208" t="s">
        <v>16</v>
      </c>
      <c r="F11" s="209"/>
      <c r="G11" s="22" t="s">
        <v>17</v>
      </c>
      <c r="H11" s="23" t="s">
        <v>18</v>
      </c>
    </row>
    <row r="12" spans="1:11" ht="19.5" customHeight="1" x14ac:dyDescent="0.35">
      <c r="A12" s="150"/>
      <c r="B12" s="42" t="s">
        <v>58</v>
      </c>
      <c r="C12" s="99">
        <f>16*1.2</f>
        <v>19.2</v>
      </c>
      <c r="D12" s="44" t="s">
        <v>0</v>
      </c>
      <c r="E12" s="210" t="s">
        <v>30</v>
      </c>
      <c r="F12" s="211"/>
      <c r="G12" s="106" t="s">
        <v>11</v>
      </c>
      <c r="H12" s="24"/>
      <c r="J12" t="s">
        <v>10</v>
      </c>
      <c r="K12">
        <f>MATCH(G12,J12:J16,0)</f>
        <v>2</v>
      </c>
    </row>
    <row r="13" spans="1:11" ht="19.5" customHeight="1" thickBot="1" x14ac:dyDescent="0.4">
      <c r="A13" s="150"/>
      <c r="B13" s="42" t="s">
        <v>59</v>
      </c>
      <c r="C13" s="99">
        <v>22.5</v>
      </c>
      <c r="D13" s="44" t="s">
        <v>0</v>
      </c>
      <c r="E13" s="214" t="s">
        <v>121</v>
      </c>
      <c r="F13" s="215"/>
      <c r="G13" s="25">
        <v>0.5</v>
      </c>
      <c r="H13" s="26"/>
      <c r="J13" t="s">
        <v>11</v>
      </c>
    </row>
    <row r="14" spans="1:11" ht="19.5" customHeight="1" thickTop="1" thickBot="1" x14ac:dyDescent="0.4">
      <c r="A14" s="150"/>
      <c r="B14" s="43" t="s">
        <v>60</v>
      </c>
      <c r="C14" s="100">
        <v>2</v>
      </c>
      <c r="D14" s="11"/>
      <c r="E14" s="198" t="s">
        <v>80</v>
      </c>
      <c r="F14" s="199"/>
      <c r="G14" s="199"/>
      <c r="H14" s="200"/>
      <c r="J14" t="s">
        <v>12</v>
      </c>
    </row>
    <row r="15" spans="1:11" ht="19.5" customHeight="1" thickTop="1" x14ac:dyDescent="0.35">
      <c r="A15" s="150"/>
      <c r="B15" s="216" t="s">
        <v>29</v>
      </c>
      <c r="C15" s="217"/>
      <c r="D15" s="218"/>
      <c r="E15" s="201" t="s">
        <v>16</v>
      </c>
      <c r="F15" s="202"/>
      <c r="G15" s="27" t="s">
        <v>17</v>
      </c>
      <c r="H15" s="28" t="s">
        <v>18</v>
      </c>
      <c r="J15" t="s">
        <v>13</v>
      </c>
    </row>
    <row r="16" spans="1:11" ht="19.5" customHeight="1" x14ac:dyDescent="0.35">
      <c r="A16" s="150"/>
      <c r="B16" s="12" t="s">
        <v>16</v>
      </c>
      <c r="C16" s="13" t="s">
        <v>17</v>
      </c>
      <c r="D16" s="14" t="s">
        <v>18</v>
      </c>
      <c r="E16" s="203" t="s">
        <v>119</v>
      </c>
      <c r="F16" s="204"/>
      <c r="G16" s="98">
        <v>2</v>
      </c>
      <c r="H16" s="53" t="s">
        <v>124</v>
      </c>
      <c r="J16" t="s">
        <v>39</v>
      </c>
    </row>
    <row r="17" spans="1:11" ht="19.5" customHeight="1" thickBot="1" x14ac:dyDescent="0.4">
      <c r="A17" s="150"/>
      <c r="B17" s="40" t="s">
        <v>27</v>
      </c>
      <c r="C17" s="101" t="s">
        <v>129</v>
      </c>
      <c r="D17" s="124"/>
      <c r="E17" s="145" t="s">
        <v>120</v>
      </c>
      <c r="F17" s="146"/>
      <c r="G17" s="54">
        <v>0.2</v>
      </c>
      <c r="H17" s="29"/>
    </row>
    <row r="18" spans="1:11" ht="19.5" customHeight="1" thickTop="1" x14ac:dyDescent="0.35">
      <c r="A18" s="150"/>
      <c r="B18" s="40" t="s">
        <v>26</v>
      </c>
      <c r="C18" s="101">
        <v>1</v>
      </c>
      <c r="D18" s="16"/>
      <c r="E18" s="190" t="s">
        <v>82</v>
      </c>
      <c r="F18" s="191"/>
      <c r="G18" s="191"/>
      <c r="H18" s="192"/>
    </row>
    <row r="19" spans="1:11" ht="19.5" customHeight="1" x14ac:dyDescent="0.35">
      <c r="A19" s="150"/>
      <c r="B19" s="40" t="s">
        <v>103</v>
      </c>
      <c r="C19" s="15">
        <v>4</v>
      </c>
      <c r="D19" s="45" t="s">
        <v>88</v>
      </c>
      <c r="E19" s="212" t="s">
        <v>16</v>
      </c>
      <c r="F19" s="213"/>
      <c r="G19" s="30" t="s">
        <v>17</v>
      </c>
      <c r="H19" s="31" t="s">
        <v>18</v>
      </c>
    </row>
    <row r="20" spans="1:11" ht="19.5" customHeight="1" x14ac:dyDescent="0.35">
      <c r="A20" s="150"/>
      <c r="B20" s="91" t="s">
        <v>61</v>
      </c>
      <c r="C20" s="103">
        <v>19</v>
      </c>
      <c r="D20" s="94"/>
      <c r="E20" s="147" t="s">
        <v>118</v>
      </c>
      <c r="F20" s="148"/>
      <c r="G20" s="107" cm="1">
        <f t="array" ref="G20">INDEX('MAGNETS (OPT)'!A3:G7,'INTERFACE (REQ)'!K12,2)</f>
        <v>3709</v>
      </c>
      <c r="H20" s="51" t="s">
        <v>14</v>
      </c>
      <c r="J20" t="s">
        <v>137</v>
      </c>
    </row>
    <row r="21" spans="1:11" ht="19.5" customHeight="1" x14ac:dyDescent="0.35">
      <c r="A21" s="150"/>
      <c r="B21" s="91" t="s">
        <v>62</v>
      </c>
      <c r="C21" s="103">
        <v>8</v>
      </c>
      <c r="D21" s="125" t="s">
        <v>125</v>
      </c>
      <c r="E21" s="147" t="s">
        <v>117</v>
      </c>
      <c r="F21" s="148"/>
      <c r="G21" s="107" cm="1">
        <f t="array" ref="G21">INDEX('MAGNETS (OPT)'!$A$3:$G$7,'INTERFACE (REQ)'!K12,6)</f>
        <v>6</v>
      </c>
      <c r="H21" s="51" t="s">
        <v>87</v>
      </c>
      <c r="J21" cm="1">
        <f t="array" ref="J21">1+(1.5/INDEX('MAGNETS (OPT)'!A3:G7,'INTERFACE (REQ)'!K12,5))</f>
        <v>1.1875</v>
      </c>
      <c r="K21" cm="1">
        <f t="array" ref="K21">INDEX('MAGNETS (OPT)'!A3:G7,'INTERFACE (REQ)'!K12,5)</f>
        <v>8</v>
      </c>
    </row>
    <row r="22" spans="1:11" ht="19.5" customHeight="1" thickBot="1" x14ac:dyDescent="0.4">
      <c r="A22" s="150"/>
      <c r="B22" s="41" t="s">
        <v>63</v>
      </c>
      <c r="C22" s="102">
        <v>41</v>
      </c>
      <c r="D22" s="17"/>
      <c r="E22" s="147" t="s">
        <v>116</v>
      </c>
      <c r="F22" s="148"/>
      <c r="G22" s="107" cm="1">
        <f t="array" ref="G22">INDEX('MAGNETS (OPT)'!$A$3:$G$7,K12,7)/J21</f>
        <v>0.1874021052631579</v>
      </c>
      <c r="H22" s="51" t="s">
        <v>15</v>
      </c>
    </row>
    <row r="23" spans="1:11" ht="19.5" customHeight="1" thickTop="1" thickBot="1" x14ac:dyDescent="0.4">
      <c r="A23" s="150"/>
      <c r="B23" s="156" t="s">
        <v>81</v>
      </c>
      <c r="C23" s="157"/>
      <c r="D23" s="158"/>
      <c r="E23" s="164" t="s">
        <v>115</v>
      </c>
      <c r="F23" s="165"/>
      <c r="G23" s="108">
        <f>G22*G13</f>
        <v>9.3701052631578949E-2</v>
      </c>
      <c r="H23" s="52" t="s">
        <v>15</v>
      </c>
    </row>
    <row r="24" spans="1:11" ht="19.5" customHeight="1" thickTop="1" x14ac:dyDescent="0.35">
      <c r="A24" s="150"/>
      <c r="B24" s="18" t="s">
        <v>16</v>
      </c>
      <c r="C24" s="19" t="s">
        <v>17</v>
      </c>
      <c r="D24" s="20" t="s">
        <v>18</v>
      </c>
      <c r="E24" s="166" t="s">
        <v>31</v>
      </c>
      <c r="F24" s="167"/>
      <c r="G24" s="167"/>
      <c r="H24" s="168"/>
    </row>
    <row r="25" spans="1:11" ht="19.5" customHeight="1" x14ac:dyDescent="0.35">
      <c r="A25" s="150"/>
      <c r="B25" s="38" t="s">
        <v>64</v>
      </c>
      <c r="C25" s="104">
        <f>2*C21*C22</f>
        <v>656</v>
      </c>
      <c r="D25" s="21"/>
      <c r="E25" s="169" t="s">
        <v>16</v>
      </c>
      <c r="F25" s="170"/>
      <c r="G25" s="32" t="s">
        <v>17</v>
      </c>
      <c r="H25" s="33" t="s">
        <v>18</v>
      </c>
    </row>
    <row r="26" spans="1:11" ht="19.5" customHeight="1" x14ac:dyDescent="0.35">
      <c r="A26" s="150"/>
      <c r="B26" s="38" t="s">
        <v>65</v>
      </c>
      <c r="C26" s="104">
        <f>C14</f>
        <v>2</v>
      </c>
      <c r="D26" s="21"/>
      <c r="E26" s="171" t="s">
        <v>111</v>
      </c>
      <c r="F26" s="172"/>
      <c r="G26" s="109">
        <f>(C25*C14)/(60*C14*C18)</f>
        <v>10.933333333333334</v>
      </c>
      <c r="H26" s="34"/>
    </row>
    <row r="27" spans="1:11" ht="19.5" customHeight="1" x14ac:dyDescent="0.35">
      <c r="A27" s="150"/>
      <c r="B27" s="38" t="s">
        <v>66</v>
      </c>
      <c r="C27" s="104">
        <f>PI()</f>
        <v>3.1415926535897931</v>
      </c>
      <c r="D27" s="46" t="s">
        <v>86</v>
      </c>
      <c r="E27" s="171" t="s">
        <v>112</v>
      </c>
      <c r="F27" s="172"/>
      <c r="G27" s="109">
        <f>(C25*C14)/(2*PI()*C14*C18)</f>
        <v>104.40564266828335</v>
      </c>
      <c r="H27" s="49" t="s">
        <v>91</v>
      </c>
    </row>
    <row r="28" spans="1:11" ht="19.5" customHeight="1" x14ac:dyDescent="0.35">
      <c r="A28" s="150"/>
      <c r="B28" s="38" t="s">
        <v>67</v>
      </c>
      <c r="C28" s="104">
        <f>PI()</f>
        <v>3.1415926535897931</v>
      </c>
      <c r="D28" s="46" t="s">
        <v>86</v>
      </c>
      <c r="E28" s="171" t="s">
        <v>113</v>
      </c>
      <c r="F28" s="172"/>
      <c r="G28" s="109">
        <f>1+(C32*VLOOKUP(C20,'WIRES (OPT)'!A24:I35,8)/4000)</f>
        <v>1.278170896</v>
      </c>
      <c r="H28" s="92" t="s">
        <v>8</v>
      </c>
    </row>
    <row r="29" spans="1:11" ht="19.5" customHeight="1" thickBot="1" x14ac:dyDescent="0.4">
      <c r="A29" s="150"/>
      <c r="B29" s="38" t="s">
        <v>68</v>
      </c>
      <c r="C29" s="104">
        <f>C13*2</f>
        <v>45</v>
      </c>
      <c r="D29" s="46" t="s">
        <v>0</v>
      </c>
      <c r="E29" s="188" t="s">
        <v>114</v>
      </c>
      <c r="F29" s="189"/>
      <c r="G29" s="110">
        <f>G16/G28</f>
        <v>1.5647359881678922</v>
      </c>
      <c r="H29" s="50" t="s">
        <v>123</v>
      </c>
    </row>
    <row r="30" spans="1:11" ht="19.5" customHeight="1" thickTop="1" x14ac:dyDescent="0.35">
      <c r="A30" s="150"/>
      <c r="B30" s="38" t="s">
        <v>71</v>
      </c>
      <c r="C30" s="104">
        <f>2*C29+2*C12</f>
        <v>128.4</v>
      </c>
      <c r="D30" s="46" t="s">
        <v>0</v>
      </c>
      <c r="E30" s="174" t="s">
        <v>83</v>
      </c>
      <c r="F30" s="175"/>
      <c r="G30" s="175"/>
      <c r="H30" s="176"/>
    </row>
    <row r="31" spans="1:11" ht="19.5" customHeight="1" x14ac:dyDescent="0.35">
      <c r="A31" s="150"/>
      <c r="B31" s="38" t="s">
        <v>69</v>
      </c>
      <c r="C31" s="104">
        <f>C22*C30</f>
        <v>5264.4000000000005</v>
      </c>
      <c r="D31" s="46" t="s">
        <v>0</v>
      </c>
      <c r="E31" s="177" t="s">
        <v>16</v>
      </c>
      <c r="F31" s="178"/>
      <c r="G31" s="35" t="s">
        <v>17</v>
      </c>
      <c r="H31" s="36" t="s">
        <v>18</v>
      </c>
    </row>
    <row r="32" spans="1:11" ht="19.5" customHeight="1" x14ac:dyDescent="0.35">
      <c r="A32" s="150"/>
      <c r="B32" s="38" t="s">
        <v>72</v>
      </c>
      <c r="C32" s="104">
        <f>C31*C21/(10*100)</f>
        <v>42.115200000000002</v>
      </c>
      <c r="D32" s="46" t="s">
        <v>110</v>
      </c>
      <c r="E32" s="89" t="s">
        <v>78</v>
      </c>
      <c r="F32" s="90"/>
      <c r="G32" s="111">
        <f>G16/(G26*(G23/1000))</f>
        <v>1952.238786340411</v>
      </c>
      <c r="H32" s="48" t="s">
        <v>7</v>
      </c>
    </row>
    <row r="33" spans="1:8" ht="19.5" customHeight="1" thickBot="1" x14ac:dyDescent="0.4">
      <c r="A33" s="150"/>
      <c r="B33" s="39" t="s">
        <v>70</v>
      </c>
      <c r="C33" s="105">
        <f>VLOOKUP(C20,'WIRES (OPT)'!A10:I40,7)*C22*2/0.5</f>
        <v>107.092</v>
      </c>
      <c r="D33" s="47" t="s">
        <v>89</v>
      </c>
      <c r="E33" s="89" t="s">
        <v>77</v>
      </c>
      <c r="F33" s="90"/>
      <c r="G33" s="111">
        <v>0</v>
      </c>
      <c r="H33" s="48" t="s">
        <v>7</v>
      </c>
    </row>
    <row r="34" spans="1:8" ht="19.5" customHeight="1" thickTop="1" x14ac:dyDescent="0.35">
      <c r="A34" s="150"/>
      <c r="B34" s="126" t="s">
        <v>94</v>
      </c>
      <c r="C34" s="127"/>
      <c r="D34" s="128"/>
      <c r="E34" s="143" t="s">
        <v>100</v>
      </c>
      <c r="F34" s="144"/>
      <c r="G34" s="111">
        <f>G33*2*PI()/60</f>
        <v>0</v>
      </c>
      <c r="H34" s="48" t="s">
        <v>92</v>
      </c>
    </row>
    <row r="35" spans="1:8" ht="19.5" customHeight="1" x14ac:dyDescent="0.35">
      <c r="A35" s="150"/>
      <c r="B35" s="88" t="s">
        <v>33</v>
      </c>
      <c r="C35" s="159" t="s">
        <v>95</v>
      </c>
      <c r="D35" s="160"/>
      <c r="E35" s="143" t="s">
        <v>79</v>
      </c>
      <c r="F35" s="144"/>
      <c r="G35" s="111">
        <f>G27*G29*G23/1000</f>
        <v>1.5307684831989233E-2</v>
      </c>
      <c r="H35" s="48" t="s">
        <v>6</v>
      </c>
    </row>
    <row r="36" spans="1:8" ht="19.5" customHeight="1" x14ac:dyDescent="0.35">
      <c r="A36" s="150"/>
      <c r="B36" s="88" t="s">
        <v>32</v>
      </c>
      <c r="C36" s="159" t="s">
        <v>34</v>
      </c>
      <c r="D36" s="160"/>
      <c r="E36" s="143" t="s">
        <v>76</v>
      </c>
      <c r="F36" s="144"/>
      <c r="G36" s="111">
        <f>(G35/2)*((G32/2)*2*PI()/60)</f>
        <v>0.78236799408394608</v>
      </c>
      <c r="H36" s="48" t="s">
        <v>8</v>
      </c>
    </row>
    <row r="37" spans="1:8" ht="19.5" customHeight="1" x14ac:dyDescent="0.35">
      <c r="A37" s="150"/>
      <c r="B37" s="88" t="s">
        <v>36</v>
      </c>
      <c r="C37" s="159" t="s">
        <v>97</v>
      </c>
      <c r="D37" s="160"/>
      <c r="E37" s="143" t="s">
        <v>75</v>
      </c>
      <c r="F37" s="144"/>
      <c r="G37" s="111">
        <f>G36*(1-G17)</f>
        <v>0.62589439526715696</v>
      </c>
      <c r="H37" s="48" t="s">
        <v>8</v>
      </c>
    </row>
    <row r="38" spans="1:8" ht="19.5" customHeight="1" x14ac:dyDescent="0.35">
      <c r="A38" s="150"/>
      <c r="B38" s="88" t="s">
        <v>99</v>
      </c>
      <c r="C38" s="159" t="s">
        <v>98</v>
      </c>
      <c r="D38" s="160"/>
      <c r="E38" s="143" t="s">
        <v>74</v>
      </c>
      <c r="F38" s="144"/>
      <c r="G38" s="111">
        <f>G29/2*G16</f>
        <v>1.5647359881678922</v>
      </c>
      <c r="H38" s="48" t="s">
        <v>8</v>
      </c>
    </row>
    <row r="39" spans="1:8" ht="19.5" customHeight="1" thickBot="1" x14ac:dyDescent="0.4">
      <c r="A39" s="150"/>
      <c r="B39" s="88" t="s">
        <v>73</v>
      </c>
      <c r="C39" s="159" t="s">
        <v>96</v>
      </c>
      <c r="D39" s="160"/>
      <c r="E39" s="186" t="s">
        <v>9</v>
      </c>
      <c r="F39" s="187"/>
      <c r="G39" s="112">
        <f>(G37*100)/G38</f>
        <v>40.000000000000007</v>
      </c>
      <c r="H39" s="37"/>
    </row>
    <row r="40" spans="1:8" ht="19.5" customHeight="1" thickTop="1" thickBot="1" x14ac:dyDescent="0.4">
      <c r="A40" s="151"/>
      <c r="B40" s="93" t="s">
        <v>93</v>
      </c>
      <c r="C40" s="138">
        <v>16</v>
      </c>
      <c r="D40" s="139"/>
      <c r="E40" s="113" t="s">
        <v>109</v>
      </c>
      <c r="F40" s="135"/>
      <c r="G40" s="136"/>
      <c r="H40" s="137"/>
    </row>
    <row r="41" spans="1:8" ht="19.5" customHeight="1" thickTop="1" thickBot="1" x14ac:dyDescent="0.4">
      <c r="B41" s="114" t="s">
        <v>107</v>
      </c>
      <c r="C41" s="122" t="s">
        <v>105</v>
      </c>
      <c r="D41" s="123" t="s">
        <v>106</v>
      </c>
      <c r="E41" s="133"/>
      <c r="F41" s="134"/>
      <c r="G41" s="134"/>
      <c r="H41" s="134"/>
    </row>
    <row r="42" spans="1:8" ht="19.5" customHeight="1" thickTop="1" x14ac:dyDescent="0.35"/>
    <row r="43" spans="1:8" ht="19.5" customHeight="1" x14ac:dyDescent="0.35">
      <c r="F43" s="1"/>
    </row>
  </sheetData>
  <mergeCells count="65">
    <mergeCell ref="E29:F29"/>
    <mergeCell ref="E18:H18"/>
    <mergeCell ref="B1:H1"/>
    <mergeCell ref="C37:D37"/>
    <mergeCell ref="C3:D3"/>
    <mergeCell ref="E35:F35"/>
    <mergeCell ref="E37:F37"/>
    <mergeCell ref="E14:H14"/>
    <mergeCell ref="E15:F15"/>
    <mergeCell ref="E16:F16"/>
    <mergeCell ref="E10:H10"/>
    <mergeCell ref="E11:F11"/>
    <mergeCell ref="E12:F12"/>
    <mergeCell ref="E19:F19"/>
    <mergeCell ref="E13:F13"/>
    <mergeCell ref="B15:D15"/>
    <mergeCell ref="E27:F27"/>
    <mergeCell ref="E28:F28"/>
    <mergeCell ref="C39:D39"/>
    <mergeCell ref="G4:H4"/>
    <mergeCell ref="E4:F4"/>
    <mergeCell ref="B34:D34"/>
    <mergeCell ref="E30:H30"/>
    <mergeCell ref="E31:F31"/>
    <mergeCell ref="G5:H5"/>
    <mergeCell ref="G6:H6"/>
    <mergeCell ref="G7:H7"/>
    <mergeCell ref="G8:H8"/>
    <mergeCell ref="G9:H9"/>
    <mergeCell ref="E20:F20"/>
    <mergeCell ref="C35:D35"/>
    <mergeCell ref="E39:F39"/>
    <mergeCell ref="E22:F22"/>
    <mergeCell ref="E23:F23"/>
    <mergeCell ref="E24:H24"/>
    <mergeCell ref="E25:F25"/>
    <mergeCell ref="E26:F26"/>
    <mergeCell ref="A10:A40"/>
    <mergeCell ref="A4:A9"/>
    <mergeCell ref="C4:D4"/>
    <mergeCell ref="C5:D5"/>
    <mergeCell ref="C6:D6"/>
    <mergeCell ref="C7:D7"/>
    <mergeCell ref="C8:D8"/>
    <mergeCell ref="C9:D9"/>
    <mergeCell ref="B23:D23"/>
    <mergeCell ref="C36:D36"/>
    <mergeCell ref="C38:D38"/>
    <mergeCell ref="B10:D10"/>
    <mergeCell ref="B2:D2"/>
    <mergeCell ref="E2:F2"/>
    <mergeCell ref="G2:H2"/>
    <mergeCell ref="E41:H41"/>
    <mergeCell ref="F40:H40"/>
    <mergeCell ref="C40:D40"/>
    <mergeCell ref="E5:F5"/>
    <mergeCell ref="E6:F6"/>
    <mergeCell ref="E7:F7"/>
    <mergeCell ref="E8:F8"/>
    <mergeCell ref="E9:F9"/>
    <mergeCell ref="E38:F38"/>
    <mergeCell ref="E36:F36"/>
    <mergeCell ref="E34:F34"/>
    <mergeCell ref="E17:F17"/>
    <mergeCell ref="E21:F21"/>
  </mergeCells>
  <conditionalFormatting sqref="C33">
    <cfRule type="cellIs" dxfId="0" priority="1" operator="greaterThan">
      <formula>120</formula>
    </cfRule>
  </conditionalFormatting>
  <dataValidations disablePrompts="1" count="4">
    <dataValidation type="list" allowBlank="1" showInputMessage="1" showErrorMessage="1" sqref="C46" xr:uid="{00000000-0002-0000-0000-000000000000}">
      <formula1>AWGList</formula1>
    </dataValidation>
    <dataValidation type="list" allowBlank="1" showInputMessage="1" showErrorMessage="1" sqref="F3" xr:uid="{00000000-0002-0000-0000-000001000000}">
      <formula1>"1,2,SUMMER"</formula1>
    </dataValidation>
    <dataValidation type="list" allowBlank="1" showInputMessage="1" showErrorMessage="1" sqref="G2:H2" xr:uid="{00000000-0002-0000-0000-000002000000}">
      <formula1>"CONFIRMED, REJECTED"</formula1>
    </dataValidation>
    <dataValidation type="list" allowBlank="1" showInputMessage="1" showErrorMessage="1" sqref="C17" xr:uid="{00000000-0002-0000-0000-000003000000}">
      <formula1>"Lap Wound, Wave Wound"</formula1>
    </dataValidation>
  </dataValidations>
  <pageMargins left="0.7" right="0.7" top="0.75" bottom="0.75" header="0.3" footer="0.3"/>
  <pageSetup paperSize="9" scale="63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4000000}">
          <x14:formula1>
            <xm:f>'WIRES (OPT)'!$A$24:$A$35</xm:f>
          </x14:formula1>
          <xm:sqref>C20</xm:sqref>
        </x14:dataValidation>
        <x14:dataValidation type="list" allowBlank="1" showInputMessage="1" showErrorMessage="1" xr:uid="{00000000-0002-0000-0000-000005000000}">
          <x14:formula1>
            <xm:f>'MAGNETS (OPT)'!$A$3:$A$7</xm:f>
          </x14:formula1>
          <xm:sqref>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8"/>
  <sheetViews>
    <sheetView zoomScaleNormal="100" zoomScaleSheetLayoutView="115" workbookViewId="0">
      <selection activeCell="A3" sqref="A3"/>
    </sheetView>
  </sheetViews>
  <sheetFormatPr defaultRowHeight="14.5" x14ac:dyDescent="0.35"/>
  <cols>
    <col min="1" max="2" width="9.1796875" style="55"/>
    <col min="3" max="7" width="16.453125" style="55" customWidth="1"/>
  </cols>
  <sheetData>
    <row r="1" spans="1:7" ht="15" thickTop="1" x14ac:dyDescent="0.35">
      <c r="A1" s="219" t="s">
        <v>45</v>
      </c>
      <c r="B1" s="220"/>
      <c r="C1" s="220"/>
      <c r="D1" s="220"/>
      <c r="E1" s="220"/>
      <c r="F1" s="220"/>
      <c r="G1" s="221"/>
    </row>
    <row r="2" spans="1:7" ht="16.5" x14ac:dyDescent="0.35">
      <c r="A2" s="3" t="s">
        <v>38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90</v>
      </c>
      <c r="G2" s="5" t="s">
        <v>44</v>
      </c>
    </row>
    <row r="3" spans="1:7" x14ac:dyDescent="0.35">
      <c r="A3" s="57" t="s">
        <v>10</v>
      </c>
      <c r="B3" s="58">
        <v>1400</v>
      </c>
      <c r="C3" s="58">
        <v>50</v>
      </c>
      <c r="D3" s="58">
        <v>20</v>
      </c>
      <c r="E3" s="58">
        <v>12.7</v>
      </c>
      <c r="F3" s="60">
        <f>(D3*C3)/10^2</f>
        <v>10</v>
      </c>
      <c r="G3" s="61">
        <f>(B3*F3)*1000/(100^2*10000)</f>
        <v>0.14000000000000001</v>
      </c>
    </row>
    <row r="4" spans="1:7" x14ac:dyDescent="0.35">
      <c r="A4" s="57" t="s">
        <v>11</v>
      </c>
      <c r="B4" s="58">
        <v>3709</v>
      </c>
      <c r="C4" s="58">
        <v>40</v>
      </c>
      <c r="D4" s="58">
        <v>15</v>
      </c>
      <c r="E4" s="58">
        <v>8</v>
      </c>
      <c r="F4" s="60">
        <f t="shared" ref="F4:F7" si="0">(D4*C4)/10^2</f>
        <v>6</v>
      </c>
      <c r="G4" s="61">
        <f t="shared" ref="G4:G7" si="1">(B4*F4)*1000/(100^2*10000)</f>
        <v>0.22253999999999999</v>
      </c>
    </row>
    <row r="5" spans="1:7" x14ac:dyDescent="0.35">
      <c r="A5" s="56" t="s">
        <v>12</v>
      </c>
      <c r="B5" s="6">
        <v>2408</v>
      </c>
      <c r="C5" s="6">
        <v>25</v>
      </c>
      <c r="D5" s="6">
        <v>12.5</v>
      </c>
      <c r="E5" s="6">
        <v>3.5</v>
      </c>
      <c r="F5" s="60">
        <f t="shared" si="0"/>
        <v>3.125</v>
      </c>
      <c r="G5" s="61">
        <f t="shared" si="1"/>
        <v>7.5249999999999997E-2</v>
      </c>
    </row>
    <row r="6" spans="1:7" x14ac:dyDescent="0.35">
      <c r="A6" s="56" t="s">
        <v>13</v>
      </c>
      <c r="B6" s="6">
        <v>3625</v>
      </c>
      <c r="C6" s="6">
        <v>25</v>
      </c>
      <c r="D6" s="6">
        <v>12.5</v>
      </c>
      <c r="E6" s="6">
        <v>6</v>
      </c>
      <c r="F6" s="60">
        <f t="shared" si="0"/>
        <v>3.125</v>
      </c>
      <c r="G6" s="61">
        <f t="shared" si="1"/>
        <v>0.11328125</v>
      </c>
    </row>
    <row r="7" spans="1:7" ht="15" thickBot="1" x14ac:dyDescent="0.4">
      <c r="A7" s="59" t="s">
        <v>39</v>
      </c>
      <c r="B7" s="7">
        <v>580</v>
      </c>
      <c r="C7" s="7">
        <v>20</v>
      </c>
      <c r="D7" s="7">
        <v>15</v>
      </c>
      <c r="E7" s="7">
        <v>5</v>
      </c>
      <c r="F7" s="62">
        <f t="shared" si="0"/>
        <v>3</v>
      </c>
      <c r="G7" s="63">
        <f t="shared" si="1"/>
        <v>1.7399999999999999E-2</v>
      </c>
    </row>
    <row r="8" spans="1:7" ht="15" thickTop="1" x14ac:dyDescent="0.35">
      <c r="A8" s="222" t="s">
        <v>85</v>
      </c>
      <c r="B8" s="222"/>
      <c r="C8" s="222"/>
      <c r="D8" s="222"/>
      <c r="E8" s="222"/>
      <c r="F8" s="222"/>
      <c r="G8" s="222"/>
    </row>
  </sheetData>
  <sheetProtection algorithmName="SHA-512" hashValue="GR5wvLWBeNZqeDTq/lLhCkqd7D+AOSYz3psF4PGC2iMGsb8Y314hUGRfdgDnqhx7axFZUsb8Ion2Bg1jP5j3GQ==" saltValue="e8y87cQnLxSHCL6pCsI0lA==" spinCount="100000" sheet="1" objects="1" scenarios="1"/>
  <mergeCells count="2">
    <mergeCell ref="A1:G1"/>
    <mergeCell ref="A8:G8"/>
  </mergeCells>
  <pageMargins left="0.7" right="0.7" top="0.75" bottom="0.75" header="0.3" footer="0.3"/>
  <pageSetup paperSize="9"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47"/>
  <sheetViews>
    <sheetView tabSelected="1" zoomScale="115" zoomScaleNormal="115" zoomScaleSheetLayoutView="100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L28" sqref="L28"/>
    </sheetView>
  </sheetViews>
  <sheetFormatPr defaultColWidth="9.1796875" defaultRowHeight="14.5" x14ac:dyDescent="0.35"/>
  <cols>
    <col min="8" max="8" width="10.7265625" customWidth="1"/>
  </cols>
  <sheetData>
    <row r="1" spans="1:10" s="87" customFormat="1" ht="30" customHeight="1" thickTop="1" x14ac:dyDescent="0.35">
      <c r="A1" s="226" t="s">
        <v>5</v>
      </c>
      <c r="B1" s="228" t="s">
        <v>46</v>
      </c>
      <c r="C1" s="228"/>
      <c r="D1" s="229" t="s">
        <v>49</v>
      </c>
      <c r="E1" s="229"/>
      <c r="F1" s="228" t="s">
        <v>52</v>
      </c>
      <c r="G1" s="228"/>
      <c r="H1" s="228" t="s">
        <v>55</v>
      </c>
      <c r="I1" s="230"/>
      <c r="J1" s="223" t="s">
        <v>122</v>
      </c>
    </row>
    <row r="2" spans="1:10" s="87" customFormat="1" ht="16.5" x14ac:dyDescent="0.4">
      <c r="A2" s="227"/>
      <c r="B2" s="64" t="s">
        <v>48</v>
      </c>
      <c r="C2" s="64" t="s">
        <v>47</v>
      </c>
      <c r="D2" s="64" t="s">
        <v>50</v>
      </c>
      <c r="E2" s="64" t="s">
        <v>51</v>
      </c>
      <c r="F2" s="64" t="s">
        <v>53</v>
      </c>
      <c r="G2" s="64" t="s">
        <v>54</v>
      </c>
      <c r="H2" s="64" t="s">
        <v>57</v>
      </c>
      <c r="I2" s="65" t="s">
        <v>56</v>
      </c>
      <c r="J2" s="224"/>
    </row>
    <row r="3" spans="1:10" s="87" customFormat="1" x14ac:dyDescent="0.35">
      <c r="A3" s="66" t="s">
        <v>1</v>
      </c>
      <c r="B3" s="67">
        <v>0.46</v>
      </c>
      <c r="C3" s="67">
        <v>11.683999999999999</v>
      </c>
      <c r="D3" s="67">
        <v>2.17</v>
      </c>
      <c r="E3" s="67">
        <v>0.85599999999999998</v>
      </c>
      <c r="F3" s="67">
        <v>212</v>
      </c>
      <c r="G3" s="67">
        <v>107</v>
      </c>
      <c r="H3" s="67">
        <v>0.1608</v>
      </c>
      <c r="I3" s="68">
        <v>4.9009999999999998E-2</v>
      </c>
      <c r="J3" s="120"/>
    </row>
    <row r="4" spans="1:10" s="87" customFormat="1" x14ac:dyDescent="0.35">
      <c r="A4" s="66" t="s">
        <v>2</v>
      </c>
      <c r="B4" s="67">
        <v>0.40960000000000002</v>
      </c>
      <c r="C4" s="67">
        <v>10.404</v>
      </c>
      <c r="D4" s="67">
        <v>2.44</v>
      </c>
      <c r="E4" s="67">
        <v>0.96099999999999997</v>
      </c>
      <c r="F4" s="67">
        <v>168</v>
      </c>
      <c r="G4" s="67">
        <v>85</v>
      </c>
      <c r="H4" s="67">
        <v>0.20280000000000001</v>
      </c>
      <c r="I4" s="68">
        <v>6.1800000000000001E-2</v>
      </c>
      <c r="J4" s="120"/>
    </row>
    <row r="5" spans="1:10" s="87" customFormat="1" x14ac:dyDescent="0.35">
      <c r="A5" s="66" t="s">
        <v>3</v>
      </c>
      <c r="B5" s="67">
        <v>0.36480000000000001</v>
      </c>
      <c r="C5" s="67">
        <v>9.266</v>
      </c>
      <c r="D5" s="67">
        <v>2.74</v>
      </c>
      <c r="E5" s="67">
        <v>1.08</v>
      </c>
      <c r="F5" s="67">
        <v>133</v>
      </c>
      <c r="G5" s="67">
        <v>67.400000000000006</v>
      </c>
      <c r="H5" s="67">
        <v>0.25569999999999998</v>
      </c>
      <c r="I5" s="68">
        <v>7.7929999999999999E-2</v>
      </c>
      <c r="J5" s="120"/>
    </row>
    <row r="6" spans="1:10" s="87" customFormat="1" x14ac:dyDescent="0.35">
      <c r="A6" s="66" t="s">
        <v>4</v>
      </c>
      <c r="B6" s="67">
        <v>0.32490000000000002</v>
      </c>
      <c r="C6" s="67">
        <v>8.2520000000000007</v>
      </c>
      <c r="D6" s="67">
        <v>3.08</v>
      </c>
      <c r="E6" s="67">
        <v>1.21</v>
      </c>
      <c r="F6" s="67">
        <v>106</v>
      </c>
      <c r="G6" s="67">
        <v>53.5</v>
      </c>
      <c r="H6" s="67">
        <v>0.32240000000000002</v>
      </c>
      <c r="I6" s="68">
        <v>9.8269999999999996E-2</v>
      </c>
      <c r="J6" s="120"/>
    </row>
    <row r="7" spans="1:10" s="87" customFormat="1" x14ac:dyDescent="0.35">
      <c r="A7" s="66">
        <v>1</v>
      </c>
      <c r="B7" s="67">
        <v>0.2893</v>
      </c>
      <c r="C7" s="67">
        <v>7.3479999999999999</v>
      </c>
      <c r="D7" s="67">
        <v>3.46</v>
      </c>
      <c r="E7" s="67">
        <v>1.36</v>
      </c>
      <c r="F7" s="67">
        <v>83.7</v>
      </c>
      <c r="G7" s="67">
        <v>42.4</v>
      </c>
      <c r="H7" s="67">
        <v>0.40660000000000002</v>
      </c>
      <c r="I7" s="68">
        <v>0.1239</v>
      </c>
      <c r="J7" s="120"/>
    </row>
    <row r="8" spans="1:10" s="87" customFormat="1" x14ac:dyDescent="0.35">
      <c r="A8" s="66">
        <v>2</v>
      </c>
      <c r="B8" s="67">
        <v>0.2576</v>
      </c>
      <c r="C8" s="67">
        <v>6.5439999999999996</v>
      </c>
      <c r="D8" s="67">
        <v>3.88</v>
      </c>
      <c r="E8" s="67">
        <v>1.53</v>
      </c>
      <c r="F8" s="67">
        <v>66.400000000000006</v>
      </c>
      <c r="G8" s="67">
        <v>33.6</v>
      </c>
      <c r="H8" s="67">
        <v>0.51270000000000004</v>
      </c>
      <c r="I8" s="68">
        <v>0.15629999999999999</v>
      </c>
      <c r="J8" s="120"/>
    </row>
    <row r="9" spans="1:10" s="87" customFormat="1" x14ac:dyDescent="0.35">
      <c r="A9" s="66">
        <v>3</v>
      </c>
      <c r="B9" s="67">
        <v>0.22939999999999999</v>
      </c>
      <c r="C9" s="67">
        <v>5.827</v>
      </c>
      <c r="D9" s="67">
        <v>4.3600000000000003</v>
      </c>
      <c r="E9" s="67">
        <v>1.72</v>
      </c>
      <c r="F9" s="67">
        <v>52.6</v>
      </c>
      <c r="G9" s="67">
        <v>26.7</v>
      </c>
      <c r="H9" s="67">
        <v>0.64649999999999996</v>
      </c>
      <c r="I9" s="68">
        <v>0.19700000000000001</v>
      </c>
      <c r="J9" s="120"/>
    </row>
    <row r="10" spans="1:10" s="87" customFormat="1" x14ac:dyDescent="0.35">
      <c r="A10" s="66">
        <v>4</v>
      </c>
      <c r="B10" s="67">
        <v>0.20430000000000001</v>
      </c>
      <c r="C10" s="67">
        <v>5.1890000000000001</v>
      </c>
      <c r="D10" s="67">
        <v>4.8899999999999997</v>
      </c>
      <c r="E10" s="67">
        <v>1.93</v>
      </c>
      <c r="F10" s="67">
        <v>41.7</v>
      </c>
      <c r="G10" s="67">
        <v>21.2</v>
      </c>
      <c r="H10" s="67">
        <v>0.81520000000000004</v>
      </c>
      <c r="I10" s="68">
        <v>0.2485</v>
      </c>
      <c r="J10" s="120"/>
    </row>
    <row r="11" spans="1:10" s="87" customFormat="1" x14ac:dyDescent="0.35">
      <c r="A11" s="66">
        <v>5</v>
      </c>
      <c r="B11" s="67">
        <v>0.18190000000000001</v>
      </c>
      <c r="C11" s="67">
        <v>4.6210000000000004</v>
      </c>
      <c r="D11" s="67">
        <v>5.5</v>
      </c>
      <c r="E11" s="67">
        <v>2.16</v>
      </c>
      <c r="F11" s="67">
        <v>33.1</v>
      </c>
      <c r="G11" s="67">
        <v>16.8</v>
      </c>
      <c r="H11" s="67">
        <v>1.028</v>
      </c>
      <c r="I11" s="68">
        <v>0.31330000000000002</v>
      </c>
      <c r="J11" s="120"/>
    </row>
    <row r="12" spans="1:10" s="87" customFormat="1" x14ac:dyDescent="0.35">
      <c r="A12" s="66">
        <v>6</v>
      </c>
      <c r="B12" s="67">
        <v>0.16200000000000001</v>
      </c>
      <c r="C12" s="67">
        <v>4.1150000000000002</v>
      </c>
      <c r="D12" s="67">
        <v>6.17</v>
      </c>
      <c r="E12" s="67">
        <v>2.4300000000000002</v>
      </c>
      <c r="F12" s="67">
        <v>26.3</v>
      </c>
      <c r="G12" s="67">
        <v>13.3</v>
      </c>
      <c r="H12" s="67">
        <v>1.296</v>
      </c>
      <c r="I12" s="68">
        <v>0.39510000000000001</v>
      </c>
      <c r="J12" s="120"/>
    </row>
    <row r="13" spans="1:10" s="87" customFormat="1" x14ac:dyDescent="0.35">
      <c r="A13" s="66">
        <v>7</v>
      </c>
      <c r="B13" s="67">
        <v>0.14430000000000001</v>
      </c>
      <c r="C13" s="67">
        <v>3.665</v>
      </c>
      <c r="D13" s="67">
        <v>6.93</v>
      </c>
      <c r="E13" s="67">
        <v>2.73</v>
      </c>
      <c r="F13" s="67">
        <v>20.8</v>
      </c>
      <c r="G13" s="67">
        <v>10.5</v>
      </c>
      <c r="H13" s="67">
        <v>1.6339999999999999</v>
      </c>
      <c r="I13" s="68">
        <v>0.49819999999999998</v>
      </c>
      <c r="J13" s="120"/>
    </row>
    <row r="14" spans="1:10" s="87" customFormat="1" x14ac:dyDescent="0.35">
      <c r="A14" s="66">
        <v>8</v>
      </c>
      <c r="B14" s="67">
        <v>0.1285</v>
      </c>
      <c r="C14" s="67">
        <v>3.2639999999999998</v>
      </c>
      <c r="D14" s="67">
        <v>7.78</v>
      </c>
      <c r="E14" s="67">
        <v>3.06</v>
      </c>
      <c r="F14" s="67">
        <v>16.5</v>
      </c>
      <c r="G14" s="67">
        <v>8.3699999999999992</v>
      </c>
      <c r="H14" s="67">
        <v>2.0609999999999999</v>
      </c>
      <c r="I14" s="68">
        <v>0.62819999999999998</v>
      </c>
      <c r="J14" s="120"/>
    </row>
    <row r="15" spans="1:10" s="87" customFormat="1" x14ac:dyDescent="0.35">
      <c r="A15" s="66">
        <v>9</v>
      </c>
      <c r="B15" s="67">
        <v>0.1144</v>
      </c>
      <c r="C15" s="67">
        <v>2.9060000000000001</v>
      </c>
      <c r="D15" s="67">
        <v>8.74</v>
      </c>
      <c r="E15" s="67">
        <v>3.44</v>
      </c>
      <c r="F15" s="67">
        <v>13.1</v>
      </c>
      <c r="G15" s="67">
        <v>6.63</v>
      </c>
      <c r="H15" s="67">
        <v>2.5990000000000002</v>
      </c>
      <c r="I15" s="68">
        <v>0.79210000000000003</v>
      </c>
      <c r="J15" s="120"/>
    </row>
    <row r="16" spans="1:10" s="87" customFormat="1" x14ac:dyDescent="0.35">
      <c r="A16" s="66">
        <v>10</v>
      </c>
      <c r="B16" s="67">
        <v>0.1019</v>
      </c>
      <c r="C16" s="67">
        <v>2.5880000000000001</v>
      </c>
      <c r="D16" s="67">
        <v>9.81</v>
      </c>
      <c r="E16" s="67">
        <v>3.86</v>
      </c>
      <c r="F16" s="67">
        <v>10.4</v>
      </c>
      <c r="G16" s="67">
        <v>5.26</v>
      </c>
      <c r="H16" s="67">
        <v>3.2770000000000001</v>
      </c>
      <c r="I16" s="68">
        <v>0.99890000000000001</v>
      </c>
      <c r="J16" s="120"/>
    </row>
    <row r="17" spans="1:12" s="87" customFormat="1" x14ac:dyDescent="0.35">
      <c r="A17" s="66">
        <v>11</v>
      </c>
      <c r="B17" s="67">
        <v>9.0700000000000003E-2</v>
      </c>
      <c r="C17" s="67">
        <v>2.3050000000000002</v>
      </c>
      <c r="D17" s="67">
        <v>11</v>
      </c>
      <c r="E17" s="67">
        <v>4.34</v>
      </c>
      <c r="F17" s="67">
        <v>8.23</v>
      </c>
      <c r="G17" s="67">
        <v>4.17</v>
      </c>
      <c r="H17" s="67">
        <v>4.1319999999999997</v>
      </c>
      <c r="I17" s="68">
        <v>1.26</v>
      </c>
      <c r="J17" s="120"/>
    </row>
    <row r="18" spans="1:12" s="87" customFormat="1" x14ac:dyDescent="0.35">
      <c r="A18" s="66">
        <v>12</v>
      </c>
      <c r="B18" s="67">
        <v>8.0799999999999997E-2</v>
      </c>
      <c r="C18" s="67">
        <v>2.0529999999999999</v>
      </c>
      <c r="D18" s="67">
        <v>12.4</v>
      </c>
      <c r="E18" s="67">
        <v>4.87</v>
      </c>
      <c r="F18" s="67">
        <v>6.53</v>
      </c>
      <c r="G18" s="67">
        <v>3.31</v>
      </c>
      <c r="H18" s="67">
        <v>5.2110000000000003</v>
      </c>
      <c r="I18" s="68">
        <v>1.5880000000000001</v>
      </c>
      <c r="J18" s="120"/>
    </row>
    <row r="19" spans="1:12" s="87" customFormat="1" x14ac:dyDescent="0.35">
      <c r="A19" s="66">
        <v>13</v>
      </c>
      <c r="B19" s="67">
        <v>7.1999999999999995E-2</v>
      </c>
      <c r="C19" s="67">
        <v>1.8280000000000001</v>
      </c>
      <c r="D19" s="67">
        <v>13.9</v>
      </c>
      <c r="E19" s="67">
        <v>5.47</v>
      </c>
      <c r="F19" s="67">
        <v>5.18</v>
      </c>
      <c r="G19" s="67">
        <v>2.62</v>
      </c>
      <c r="H19" s="67">
        <v>6.5709999999999997</v>
      </c>
      <c r="I19" s="68">
        <v>2.0030000000000001</v>
      </c>
      <c r="J19" s="120"/>
    </row>
    <row r="20" spans="1:12" s="87" customFormat="1" x14ac:dyDescent="0.35">
      <c r="A20" s="66">
        <v>14</v>
      </c>
      <c r="B20" s="67">
        <v>6.4100000000000004E-2</v>
      </c>
      <c r="C20" s="67">
        <v>1.6279999999999999</v>
      </c>
      <c r="D20" s="67">
        <v>15.6</v>
      </c>
      <c r="E20" s="67">
        <v>6.14</v>
      </c>
      <c r="F20" s="67">
        <v>4.1100000000000003</v>
      </c>
      <c r="G20" s="67">
        <v>2.08</v>
      </c>
      <c r="H20" s="67">
        <v>8.2859999999999996</v>
      </c>
      <c r="I20" s="68">
        <v>2.5249999999999999</v>
      </c>
      <c r="J20" s="120"/>
    </row>
    <row r="21" spans="1:12" s="87" customFormat="1" x14ac:dyDescent="0.35">
      <c r="A21" s="66">
        <v>15</v>
      </c>
      <c r="B21" s="67">
        <v>5.7099999999999998E-2</v>
      </c>
      <c r="C21" s="67">
        <v>1.45</v>
      </c>
      <c r="D21" s="67">
        <v>17.5</v>
      </c>
      <c r="E21" s="67">
        <v>6.9</v>
      </c>
      <c r="F21" s="67">
        <v>3.26</v>
      </c>
      <c r="G21" s="67">
        <v>1.65</v>
      </c>
      <c r="H21" s="67">
        <v>10.45</v>
      </c>
      <c r="I21" s="68">
        <v>3.1840000000000002</v>
      </c>
      <c r="J21" s="120"/>
    </row>
    <row r="22" spans="1:12" s="87" customFormat="1" x14ac:dyDescent="0.35">
      <c r="A22" s="66">
        <v>16</v>
      </c>
      <c r="B22" s="67">
        <v>5.0799999999999998E-2</v>
      </c>
      <c r="C22" s="67">
        <v>1.2909999999999999</v>
      </c>
      <c r="D22" s="67">
        <v>19.7</v>
      </c>
      <c r="E22" s="67">
        <v>7.75</v>
      </c>
      <c r="F22" s="67">
        <v>2.58</v>
      </c>
      <c r="G22" s="67">
        <v>1.31</v>
      </c>
      <c r="H22" s="67">
        <v>13.17</v>
      </c>
      <c r="I22" s="68">
        <v>4.016</v>
      </c>
      <c r="J22" s="120"/>
    </row>
    <row r="23" spans="1:12" s="87" customFormat="1" ht="15" thickBot="1" x14ac:dyDescent="0.4">
      <c r="A23" s="69">
        <v>17</v>
      </c>
      <c r="B23" s="70">
        <v>4.53E-2</v>
      </c>
      <c r="C23" s="70">
        <v>1.1499999999999999</v>
      </c>
      <c r="D23" s="70">
        <v>22.1</v>
      </c>
      <c r="E23" s="70">
        <v>8.6999999999999993</v>
      </c>
      <c r="F23" s="70">
        <v>2.0499999999999998</v>
      </c>
      <c r="G23" s="70">
        <v>1.04</v>
      </c>
      <c r="H23" s="70">
        <v>16.61</v>
      </c>
      <c r="I23" s="71">
        <v>5.0640000000000001</v>
      </c>
      <c r="J23" s="120"/>
    </row>
    <row r="24" spans="1:12" s="87" customFormat="1" ht="15" thickTop="1" x14ac:dyDescent="0.35">
      <c r="A24" s="72">
        <v>18</v>
      </c>
      <c r="B24" s="73">
        <v>4.0300000000000002E-2</v>
      </c>
      <c r="C24" s="73">
        <v>1.024</v>
      </c>
      <c r="D24" s="73">
        <v>24.8</v>
      </c>
      <c r="E24" s="73">
        <v>9.77</v>
      </c>
      <c r="F24" s="73">
        <v>1.62</v>
      </c>
      <c r="G24" s="73">
        <v>0.82299999999999995</v>
      </c>
      <c r="H24" s="73">
        <v>20.95</v>
      </c>
      <c r="I24" s="74">
        <v>6.3849999999999998</v>
      </c>
      <c r="J24" s="120"/>
    </row>
    <row r="25" spans="1:12" s="87" customFormat="1" x14ac:dyDescent="0.35">
      <c r="A25" s="75">
        <v>19</v>
      </c>
      <c r="B25" s="76">
        <v>3.5900000000000001E-2</v>
      </c>
      <c r="C25" s="76">
        <v>0.91200000000000003</v>
      </c>
      <c r="D25" s="76">
        <v>27.9</v>
      </c>
      <c r="E25" s="76">
        <v>11</v>
      </c>
      <c r="F25" s="76">
        <v>1.29</v>
      </c>
      <c r="G25" s="76">
        <v>0.65300000000000002</v>
      </c>
      <c r="H25" s="76">
        <v>26.42</v>
      </c>
      <c r="I25" s="77">
        <v>8.0510000000000002</v>
      </c>
      <c r="J25" s="120"/>
      <c r="L25" s="87">
        <f>G25/100</f>
        <v>6.5300000000000002E-3</v>
      </c>
    </row>
    <row r="26" spans="1:12" s="87" customFormat="1" x14ac:dyDescent="0.35">
      <c r="A26" s="75">
        <v>20</v>
      </c>
      <c r="B26" s="76">
        <v>3.2000000000000001E-2</v>
      </c>
      <c r="C26" s="76">
        <v>0.81200000000000006</v>
      </c>
      <c r="D26" s="76">
        <v>31.3</v>
      </c>
      <c r="E26" s="76">
        <v>12.3</v>
      </c>
      <c r="F26" s="76">
        <v>1.02</v>
      </c>
      <c r="G26" s="76">
        <v>0.51800000000000002</v>
      </c>
      <c r="H26" s="76">
        <v>33.31</v>
      </c>
      <c r="I26" s="77">
        <v>10.15</v>
      </c>
      <c r="J26" s="120"/>
      <c r="L26" s="87">
        <f>42*100</f>
        <v>4200</v>
      </c>
    </row>
    <row r="27" spans="1:12" s="87" customFormat="1" x14ac:dyDescent="0.35">
      <c r="A27" s="75">
        <v>21</v>
      </c>
      <c r="B27" s="76">
        <v>2.8500000000000001E-2</v>
      </c>
      <c r="C27" s="76">
        <v>0.72299999999999998</v>
      </c>
      <c r="D27" s="76">
        <v>35.1</v>
      </c>
      <c r="E27" s="76">
        <v>13.8</v>
      </c>
      <c r="F27" s="76">
        <v>0.81</v>
      </c>
      <c r="G27" s="76">
        <v>0.41</v>
      </c>
      <c r="H27" s="76">
        <v>42</v>
      </c>
      <c r="I27" s="77">
        <v>12.8</v>
      </c>
      <c r="J27" s="120"/>
      <c r="L27" s="87">
        <f>L26*L25</f>
        <v>27.426000000000002</v>
      </c>
    </row>
    <row r="28" spans="1:12" s="87" customFormat="1" x14ac:dyDescent="0.35">
      <c r="A28" s="75">
        <v>22</v>
      </c>
      <c r="B28" s="76">
        <v>2.53E-2</v>
      </c>
      <c r="C28" s="76">
        <v>0.64400000000000002</v>
      </c>
      <c r="D28" s="76">
        <v>39.5</v>
      </c>
      <c r="E28" s="76">
        <v>15.5</v>
      </c>
      <c r="F28" s="76">
        <v>0.64200000000000002</v>
      </c>
      <c r="G28" s="76">
        <v>0.32600000000000001</v>
      </c>
      <c r="H28" s="76">
        <v>52.96</v>
      </c>
      <c r="I28" s="77">
        <v>16.14</v>
      </c>
      <c r="J28" s="120"/>
      <c r="L28" s="87">
        <f>L27*8.96</f>
        <v>245.73696000000004</v>
      </c>
    </row>
    <row r="29" spans="1:12" s="87" customFormat="1" x14ac:dyDescent="0.35">
      <c r="A29" s="75">
        <v>23</v>
      </c>
      <c r="B29" s="76">
        <v>2.2599999999999999E-2</v>
      </c>
      <c r="C29" s="76">
        <v>0.57299999999999995</v>
      </c>
      <c r="D29" s="76">
        <v>44.3</v>
      </c>
      <c r="E29" s="76">
        <v>17.399999999999999</v>
      </c>
      <c r="F29" s="76">
        <v>0.50900000000000001</v>
      </c>
      <c r="G29" s="76">
        <v>0.25800000000000001</v>
      </c>
      <c r="H29" s="76">
        <v>66.790000000000006</v>
      </c>
      <c r="I29" s="77">
        <v>20.36</v>
      </c>
      <c r="J29" s="120"/>
    </row>
    <row r="30" spans="1:12" s="87" customFormat="1" x14ac:dyDescent="0.35">
      <c r="A30" s="75">
        <v>24</v>
      </c>
      <c r="B30" s="76">
        <v>2.01E-2</v>
      </c>
      <c r="C30" s="76">
        <v>0.51100000000000001</v>
      </c>
      <c r="D30" s="76">
        <v>49.7</v>
      </c>
      <c r="E30" s="76">
        <v>19.600000000000001</v>
      </c>
      <c r="F30" s="76">
        <v>0.40400000000000003</v>
      </c>
      <c r="G30" s="76">
        <v>0.20499999999999999</v>
      </c>
      <c r="H30" s="76">
        <v>84.22</v>
      </c>
      <c r="I30" s="77">
        <v>25.67</v>
      </c>
      <c r="J30" s="120"/>
    </row>
    <row r="31" spans="1:12" s="87" customFormat="1" x14ac:dyDescent="0.35">
      <c r="A31" s="75">
        <v>25</v>
      </c>
      <c r="B31" s="76">
        <v>1.7899999999999999E-2</v>
      </c>
      <c r="C31" s="76">
        <v>0.45500000000000002</v>
      </c>
      <c r="D31" s="76">
        <v>55.9</v>
      </c>
      <c r="E31" s="76">
        <v>22</v>
      </c>
      <c r="F31" s="76">
        <v>0.32</v>
      </c>
      <c r="G31" s="76">
        <v>0.16200000000000001</v>
      </c>
      <c r="H31" s="76">
        <v>106.2</v>
      </c>
      <c r="I31" s="77">
        <v>32.369999999999997</v>
      </c>
      <c r="J31" s="120"/>
    </row>
    <row r="32" spans="1:12" s="87" customFormat="1" x14ac:dyDescent="0.35">
      <c r="A32" s="75">
        <v>26</v>
      </c>
      <c r="B32" s="76">
        <v>1.5900000000000001E-2</v>
      </c>
      <c r="C32" s="76">
        <v>0.40500000000000003</v>
      </c>
      <c r="D32" s="76">
        <v>62.7</v>
      </c>
      <c r="E32" s="76">
        <v>24.7</v>
      </c>
      <c r="F32" s="76">
        <v>0.254</v>
      </c>
      <c r="G32" s="76">
        <v>0.129</v>
      </c>
      <c r="H32" s="76">
        <v>133.9</v>
      </c>
      <c r="I32" s="77">
        <v>40.81</v>
      </c>
      <c r="J32" s="120"/>
    </row>
    <row r="33" spans="1:10" s="87" customFormat="1" x14ac:dyDescent="0.35">
      <c r="A33" s="75">
        <v>27</v>
      </c>
      <c r="B33" s="76">
        <v>1.4200000000000001E-2</v>
      </c>
      <c r="C33" s="76">
        <v>0.36099999999999999</v>
      </c>
      <c r="D33" s="76">
        <v>70.400000000000006</v>
      </c>
      <c r="E33" s="76">
        <v>27.7</v>
      </c>
      <c r="F33" s="76">
        <v>0.20200000000000001</v>
      </c>
      <c r="G33" s="76">
        <v>0.10199999999999999</v>
      </c>
      <c r="H33" s="76">
        <v>168.9</v>
      </c>
      <c r="I33" s="77">
        <v>51.47</v>
      </c>
      <c r="J33" s="120"/>
    </row>
    <row r="34" spans="1:10" s="87" customFormat="1" x14ac:dyDescent="0.35">
      <c r="A34" s="75">
        <v>28</v>
      </c>
      <c r="B34" s="76">
        <v>1.26E-2</v>
      </c>
      <c r="C34" s="76">
        <v>0.32100000000000001</v>
      </c>
      <c r="D34" s="76">
        <v>79.099999999999994</v>
      </c>
      <c r="E34" s="76">
        <v>31.1</v>
      </c>
      <c r="F34" s="76">
        <v>0.16</v>
      </c>
      <c r="G34" s="76">
        <v>8.1000000000000003E-2</v>
      </c>
      <c r="H34" s="76">
        <v>212.9</v>
      </c>
      <c r="I34" s="77">
        <v>64.900000000000006</v>
      </c>
      <c r="J34" s="120"/>
    </row>
    <row r="35" spans="1:10" s="87" customFormat="1" ht="15" thickBot="1" x14ac:dyDescent="0.4">
      <c r="A35" s="78">
        <v>29</v>
      </c>
      <c r="B35" s="79">
        <v>1.1299999999999999E-2</v>
      </c>
      <c r="C35" s="79">
        <v>0.28599999999999998</v>
      </c>
      <c r="D35" s="79">
        <v>88.8</v>
      </c>
      <c r="E35" s="79">
        <v>35</v>
      </c>
      <c r="F35" s="79">
        <v>0.127</v>
      </c>
      <c r="G35" s="79">
        <v>6.4199999999999993E-2</v>
      </c>
      <c r="H35" s="79">
        <v>268.5</v>
      </c>
      <c r="I35" s="80">
        <v>81.84</v>
      </c>
      <c r="J35" s="120"/>
    </row>
    <row r="36" spans="1:10" s="87" customFormat="1" ht="15" thickTop="1" x14ac:dyDescent="0.35">
      <c r="A36" s="81">
        <v>30</v>
      </c>
      <c r="B36" s="82">
        <v>0.01</v>
      </c>
      <c r="C36" s="82">
        <v>0.255</v>
      </c>
      <c r="D36" s="82">
        <v>99.7</v>
      </c>
      <c r="E36" s="82">
        <v>39.299999999999997</v>
      </c>
      <c r="F36" s="82">
        <v>0.10100000000000001</v>
      </c>
      <c r="G36" s="82">
        <v>5.0900000000000001E-2</v>
      </c>
      <c r="H36" s="82">
        <v>338.6</v>
      </c>
      <c r="I36" s="83">
        <v>103.2</v>
      </c>
      <c r="J36" s="120"/>
    </row>
    <row r="37" spans="1:10" s="87" customFormat="1" x14ac:dyDescent="0.35">
      <c r="A37" s="66">
        <v>31</v>
      </c>
      <c r="B37" s="67">
        <v>8.9300000000000004E-3</v>
      </c>
      <c r="C37" s="67">
        <v>0.22700000000000001</v>
      </c>
      <c r="D37" s="67">
        <v>112</v>
      </c>
      <c r="E37" s="67">
        <v>44.1</v>
      </c>
      <c r="F37" s="67">
        <v>7.9699999999999993E-2</v>
      </c>
      <c r="G37" s="67">
        <v>4.0399999999999998E-2</v>
      </c>
      <c r="H37" s="67">
        <v>426.9</v>
      </c>
      <c r="I37" s="68">
        <v>130.1</v>
      </c>
      <c r="J37" s="120"/>
    </row>
    <row r="38" spans="1:10" s="87" customFormat="1" x14ac:dyDescent="0.35">
      <c r="A38" s="66">
        <v>32</v>
      </c>
      <c r="B38" s="67">
        <v>7.9500000000000005E-3</v>
      </c>
      <c r="C38" s="67">
        <v>0.20200000000000001</v>
      </c>
      <c r="D38" s="67">
        <v>126</v>
      </c>
      <c r="E38" s="67">
        <v>49.5</v>
      </c>
      <c r="F38" s="67">
        <v>6.3200000000000006E-2</v>
      </c>
      <c r="G38" s="67">
        <v>3.2000000000000001E-2</v>
      </c>
      <c r="H38" s="67">
        <v>538.29999999999995</v>
      </c>
      <c r="I38" s="68">
        <v>164.1</v>
      </c>
      <c r="J38" s="120"/>
    </row>
    <row r="39" spans="1:10" s="87" customFormat="1" x14ac:dyDescent="0.35">
      <c r="A39" s="66">
        <v>33</v>
      </c>
      <c r="B39" s="67">
        <v>7.0800000000000004E-3</v>
      </c>
      <c r="C39" s="67">
        <v>0.18</v>
      </c>
      <c r="D39" s="67">
        <v>141</v>
      </c>
      <c r="E39" s="67">
        <v>55.6</v>
      </c>
      <c r="F39" s="67">
        <v>5.0099999999999999E-2</v>
      </c>
      <c r="G39" s="67">
        <v>2.5399999999999999E-2</v>
      </c>
      <c r="H39" s="67">
        <v>678.8</v>
      </c>
      <c r="I39" s="68">
        <v>206.9</v>
      </c>
      <c r="J39" s="120"/>
    </row>
    <row r="40" spans="1:10" s="87" customFormat="1" x14ac:dyDescent="0.35">
      <c r="A40" s="66">
        <v>34</v>
      </c>
      <c r="B40" s="67">
        <v>6.3E-3</v>
      </c>
      <c r="C40" s="67">
        <v>0.16</v>
      </c>
      <c r="D40" s="67">
        <v>159</v>
      </c>
      <c r="E40" s="67">
        <v>62.4</v>
      </c>
      <c r="F40" s="67">
        <v>3.9800000000000002E-2</v>
      </c>
      <c r="G40" s="67">
        <v>2.01E-2</v>
      </c>
      <c r="H40" s="67">
        <v>856</v>
      </c>
      <c r="I40" s="68">
        <v>260.89999999999998</v>
      </c>
      <c r="J40" s="120"/>
    </row>
    <row r="41" spans="1:10" s="87" customFormat="1" x14ac:dyDescent="0.35">
      <c r="A41" s="66">
        <v>35</v>
      </c>
      <c r="B41" s="67">
        <v>5.6100000000000004E-3</v>
      </c>
      <c r="C41" s="67">
        <v>0.14299999999999999</v>
      </c>
      <c r="D41" s="67">
        <v>178</v>
      </c>
      <c r="E41" s="67">
        <v>70.099999999999994</v>
      </c>
      <c r="F41" s="67">
        <v>3.15E-2</v>
      </c>
      <c r="G41" s="67">
        <v>1.6E-2</v>
      </c>
      <c r="H41" s="67">
        <v>1079</v>
      </c>
      <c r="I41" s="68">
        <v>329</v>
      </c>
      <c r="J41" s="120"/>
    </row>
    <row r="42" spans="1:10" s="87" customFormat="1" x14ac:dyDescent="0.35">
      <c r="A42" s="66">
        <v>36</v>
      </c>
      <c r="B42" s="67">
        <v>5.0000000000000001E-3</v>
      </c>
      <c r="C42" s="67">
        <v>0.127</v>
      </c>
      <c r="D42" s="67">
        <v>200</v>
      </c>
      <c r="E42" s="67">
        <v>78.7</v>
      </c>
      <c r="F42" s="67">
        <v>2.5000000000000001E-2</v>
      </c>
      <c r="G42" s="67">
        <v>1.2699999999999999E-2</v>
      </c>
      <c r="H42" s="67">
        <v>1361</v>
      </c>
      <c r="I42" s="68">
        <v>414.8</v>
      </c>
      <c r="J42" s="120"/>
    </row>
    <row r="43" spans="1:10" s="87" customFormat="1" x14ac:dyDescent="0.35">
      <c r="A43" s="66">
        <v>37</v>
      </c>
      <c r="B43" s="67">
        <v>4.45E-3</v>
      </c>
      <c r="C43" s="67">
        <v>0.113</v>
      </c>
      <c r="D43" s="67">
        <v>225</v>
      </c>
      <c r="E43" s="67">
        <v>88.4</v>
      </c>
      <c r="F43" s="67">
        <v>1.9800000000000002E-2</v>
      </c>
      <c r="G43" s="67">
        <v>0.01</v>
      </c>
      <c r="H43" s="67">
        <v>1716</v>
      </c>
      <c r="I43" s="68">
        <v>523.1</v>
      </c>
      <c r="J43" s="120"/>
    </row>
    <row r="44" spans="1:10" s="87" customFormat="1" x14ac:dyDescent="0.35">
      <c r="A44" s="66">
        <v>38</v>
      </c>
      <c r="B44" s="67">
        <v>3.9699999999999996E-3</v>
      </c>
      <c r="C44" s="67">
        <v>0.10100000000000001</v>
      </c>
      <c r="D44" s="67">
        <v>252</v>
      </c>
      <c r="E44" s="67">
        <v>99.3</v>
      </c>
      <c r="F44" s="67">
        <v>1.5699999999999999E-2</v>
      </c>
      <c r="G44" s="67">
        <v>7.9699999999999997E-3</v>
      </c>
      <c r="H44" s="67">
        <v>2164</v>
      </c>
      <c r="I44" s="68">
        <v>659.6</v>
      </c>
      <c r="J44" s="120"/>
    </row>
    <row r="45" spans="1:10" s="87" customFormat="1" x14ac:dyDescent="0.35">
      <c r="A45" s="66">
        <v>39</v>
      </c>
      <c r="B45" s="67">
        <v>3.5300000000000002E-3</v>
      </c>
      <c r="C45" s="67">
        <v>8.9700000000000002E-2</v>
      </c>
      <c r="D45" s="67">
        <v>283</v>
      </c>
      <c r="E45" s="67">
        <v>111</v>
      </c>
      <c r="F45" s="67">
        <v>1.2500000000000001E-2</v>
      </c>
      <c r="G45" s="67">
        <v>6.3200000000000001E-3</v>
      </c>
      <c r="H45" s="67">
        <v>2729</v>
      </c>
      <c r="I45" s="68">
        <v>831.8</v>
      </c>
      <c r="J45" s="120"/>
    </row>
    <row r="46" spans="1:10" s="87" customFormat="1" ht="15" thickBot="1" x14ac:dyDescent="0.4">
      <c r="A46" s="84">
        <v>40</v>
      </c>
      <c r="B46" s="85">
        <v>3.14E-3</v>
      </c>
      <c r="C46" s="85">
        <v>7.9899999999999999E-2</v>
      </c>
      <c r="D46" s="85">
        <v>318</v>
      </c>
      <c r="E46" s="85">
        <v>125</v>
      </c>
      <c r="F46" s="85">
        <v>9.8899999999999995E-3</v>
      </c>
      <c r="G46" s="85">
        <v>5.0099999999999997E-3</v>
      </c>
      <c r="H46" s="85">
        <v>3441</v>
      </c>
      <c r="I46" s="86">
        <v>1049</v>
      </c>
      <c r="J46" s="121"/>
    </row>
    <row r="47" spans="1:10" ht="15" thickTop="1" x14ac:dyDescent="0.35">
      <c r="A47" s="225" t="s">
        <v>85</v>
      </c>
      <c r="B47" s="225"/>
      <c r="C47" s="225"/>
      <c r="D47" s="225"/>
      <c r="E47" s="225"/>
      <c r="F47" s="225"/>
      <c r="G47" s="225"/>
      <c r="H47" s="225"/>
      <c r="I47" s="225"/>
      <c r="J47" s="225"/>
    </row>
  </sheetData>
  <sheetProtection algorithmName="SHA-512" hashValue="KLWbhnA30pY0a01/WtXSiDLNj8pshq5mtNMH1LCoVMSZBtjrxVeHal5ADnu7W368WNjvfeMVw+7hw13+g63MbQ==" saltValue="CM6SyB0Q+xvxPmxV99L3mw==" spinCount="100000" sheet="1" objects="1" scenarios="1"/>
  <mergeCells count="7">
    <mergeCell ref="J1:J2"/>
    <mergeCell ref="A47:J47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  <rowBreaks count="1" manualBreakCount="1">
    <brk id="22" max="8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INTERFACE (REQ)</vt:lpstr>
      <vt:lpstr>YOUR SHEET (OPT)</vt:lpstr>
      <vt:lpstr>MAGNETS (OPT)</vt:lpstr>
      <vt:lpstr>WIRES (OPT)</vt:lpstr>
      <vt:lpstr>AWGList</vt:lpstr>
      <vt:lpstr>Magnets</vt:lpstr>
      <vt:lpstr>'INTERFACE (REQ)'!Print_Area</vt:lpstr>
      <vt:lpstr>'WIRES (OPT)'!Print_Area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Queensland University of Technology</dc:creator>
  <cp:lastModifiedBy>Nicklin</cp:lastModifiedBy>
  <cp:lastPrinted>2017-05-19T05:14:34Z</cp:lastPrinted>
  <dcterms:created xsi:type="dcterms:W3CDTF">2012-08-27T07:23:36Z</dcterms:created>
  <dcterms:modified xsi:type="dcterms:W3CDTF">2023-05-31T10:43:45Z</dcterms:modified>
</cp:coreProperties>
</file>