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8010"/>
  </bookViews>
  <sheets>
    <sheet name="项目铜排材料总单" sheetId="1" r:id="rId1"/>
  </sheets>
  <definedNames>
    <definedName name="_xlnm.Print_Area" localSheetId="0">项目铜排材料总单!$A$2:$M$131</definedName>
  </definedNames>
  <calcPr calcId="144525"/>
</workbook>
</file>

<file path=xl/sharedStrings.xml><?xml version="1.0" encoding="utf-8"?>
<sst xmlns="http://schemas.openxmlformats.org/spreadsheetml/2006/main" count="330" uniqueCount="276">
  <si>
    <t xml:space="preserve">      </t>
  </si>
  <si>
    <r>
      <rPr>
        <sz val="10"/>
        <rFont val="宋体"/>
        <charset val="134"/>
      </rPr>
      <t>博耳（无锡）电力成套有限公司</t>
    </r>
    <r>
      <rPr>
        <sz val="10"/>
        <rFont val="Arial"/>
        <charset val="134"/>
      </rPr>
      <t xml:space="preserve">   </t>
    </r>
  </si>
  <si>
    <t>表单</t>
  </si>
  <si>
    <r>
      <rPr>
        <sz val="10"/>
        <rFont val="Arial"/>
        <charset val="134"/>
      </rPr>
      <t xml:space="preserve">  </t>
    </r>
    <r>
      <rPr>
        <sz val="10"/>
        <rFont val="宋体"/>
        <charset val="134"/>
      </rPr>
      <t>所属：成套产品实现控制程序</t>
    </r>
  </si>
  <si>
    <t>项目铜排材料清单（总单）</t>
  </si>
  <si>
    <r>
      <rPr>
        <sz val="10"/>
        <rFont val="宋体"/>
        <charset val="134"/>
      </rPr>
      <t>表码：</t>
    </r>
    <r>
      <rPr>
        <sz val="10"/>
        <rFont val="Arial"/>
        <charset val="134"/>
      </rPr>
      <t xml:space="preserve">JL-QM-022-010  </t>
    </r>
    <r>
      <rPr>
        <sz val="10"/>
        <rFont val="Arial"/>
        <charset val="134"/>
      </rPr>
      <t xml:space="preserve">                                                                          </t>
    </r>
    <r>
      <rPr>
        <sz val="10"/>
        <rFont val="宋体"/>
        <charset val="134"/>
      </rPr>
      <t>编号：</t>
    </r>
    <r>
      <rPr>
        <sz val="10"/>
        <rFont val="Arial"/>
        <charset val="134"/>
      </rPr>
      <t xml:space="preserve">       20160415    </t>
    </r>
  </si>
  <si>
    <t>项目信息：</t>
  </si>
  <si>
    <t>项目名称：</t>
  </si>
  <si>
    <r>
      <rPr>
        <b/>
        <sz val="10.5"/>
        <rFont val="宋体"/>
        <charset val="134"/>
      </rPr>
      <t>施耐德厦门香港</t>
    </r>
    <r>
      <rPr>
        <b/>
        <sz val="10.5"/>
        <rFont val="Arial"/>
        <charset val="134"/>
      </rPr>
      <t>HKG2-PUT&amp;SBU</t>
    </r>
  </si>
  <si>
    <t>项目编号：</t>
  </si>
  <si>
    <t>A20240104</t>
  </si>
  <si>
    <t>柜型：</t>
  </si>
  <si>
    <r>
      <rPr>
        <b/>
        <sz val="10.5"/>
        <rFont val="宋体"/>
        <charset val="134"/>
      </rPr>
      <t>新</t>
    </r>
    <r>
      <rPr>
        <b/>
        <sz val="10.5"/>
        <rFont val="Arial"/>
        <charset val="134"/>
      </rPr>
      <t>B</t>
    </r>
  </si>
  <si>
    <t>柜体数量：</t>
  </si>
  <si>
    <t>铜排生产订单号：</t>
  </si>
  <si>
    <t>A20240104-4</t>
  </si>
  <si>
    <t>铜排表面处理：</t>
  </si>
  <si>
    <t>铜排材料信息：1AA1（总单）MT40上电缆下水平N是3P带零序电缆孔是14的</t>
  </si>
  <si>
    <t>序号</t>
  </si>
  <si>
    <t>图号</t>
  </si>
  <si>
    <t>描述</t>
  </si>
  <si>
    <t>厚度（mm)</t>
  </si>
  <si>
    <t>宽度（mm)</t>
  </si>
  <si>
    <t>长度（mm)</t>
  </si>
  <si>
    <t>数量</t>
  </si>
  <si>
    <t>重量（kg)</t>
  </si>
  <si>
    <t>1.</t>
  </si>
  <si>
    <t>1AA1-1.0HK-N01</t>
  </si>
  <si>
    <t>下桩零序N</t>
  </si>
  <si>
    <t>2.</t>
  </si>
  <si>
    <t>1AA1-1.0HK-N02</t>
  </si>
  <si>
    <t>3.</t>
  </si>
  <si>
    <t>1AA1-1.0HK-N03</t>
  </si>
  <si>
    <t>4.</t>
  </si>
  <si>
    <t>1AA1-1.0HK-N04</t>
  </si>
  <si>
    <t>5.</t>
  </si>
  <si>
    <t>1AA1-1.0HK-N05</t>
  </si>
  <si>
    <t>6.</t>
  </si>
  <si>
    <t>1AA1-1.0HK-N06</t>
  </si>
  <si>
    <t>7.</t>
  </si>
  <si>
    <t>1AA1-1.0HK-N11</t>
  </si>
  <si>
    <t>上桩零序N</t>
  </si>
  <si>
    <t>8.</t>
  </si>
  <si>
    <t>1AA1-1.0HK-N12</t>
  </si>
  <si>
    <t>9.</t>
  </si>
  <si>
    <t>1AA1-1.0HK-N13</t>
  </si>
  <si>
    <t>10.</t>
  </si>
  <si>
    <t>1AA1-1.0HK-N14</t>
  </si>
  <si>
    <t>11.</t>
  </si>
  <si>
    <t>1AA1-1.0HK-N15</t>
  </si>
  <si>
    <t>12.</t>
  </si>
  <si>
    <t>1AA1-1.0HK-N16</t>
  </si>
  <si>
    <t>13.</t>
  </si>
  <si>
    <t>1AA1-G-N001</t>
  </si>
  <si>
    <t>14.</t>
  </si>
  <si>
    <t>1AA1-G-N002</t>
  </si>
  <si>
    <t>15.</t>
  </si>
  <si>
    <t>1AA1-G-N003</t>
  </si>
  <si>
    <t>16.</t>
  </si>
  <si>
    <t>1AA1-G-N004</t>
  </si>
  <si>
    <t>18.</t>
  </si>
  <si>
    <t>51131395XA</t>
  </si>
  <si>
    <t>N（88.5尺寸改77，Y24变成奉中冲孔）</t>
  </si>
  <si>
    <t>19.</t>
  </si>
  <si>
    <t>51131395XB</t>
  </si>
  <si>
    <t>20.</t>
  </si>
  <si>
    <t>51131395XC</t>
  </si>
  <si>
    <t>21.</t>
  </si>
  <si>
    <t>51131395XD</t>
  </si>
  <si>
    <t>22.</t>
  </si>
  <si>
    <t>51131395XE</t>
  </si>
  <si>
    <t>23.</t>
  </si>
  <si>
    <t>51131395XF</t>
  </si>
  <si>
    <t>24.</t>
  </si>
  <si>
    <t>总长缩50</t>
  </si>
  <si>
    <t>25.</t>
  </si>
  <si>
    <t>ABX34381G01-FQ</t>
  </si>
  <si>
    <t>下桩A</t>
  </si>
  <si>
    <t>26.</t>
  </si>
  <si>
    <t>ABX34382G01-FQ</t>
  </si>
  <si>
    <t>27.</t>
  </si>
  <si>
    <t>ABX34383G01-FQ</t>
  </si>
  <si>
    <t>28.</t>
  </si>
  <si>
    <t>ABX34384G01-FQ</t>
  </si>
  <si>
    <t>29.</t>
  </si>
  <si>
    <t>ABX34385G01-FQ</t>
  </si>
  <si>
    <t>30.</t>
  </si>
  <si>
    <t>ABX34386G01-FQ</t>
  </si>
  <si>
    <t>31.</t>
  </si>
  <si>
    <t>ZQH26207</t>
  </si>
  <si>
    <t>上桩A</t>
  </si>
  <si>
    <t>32.</t>
  </si>
  <si>
    <t>ZQH26208</t>
  </si>
  <si>
    <t>33.</t>
  </si>
  <si>
    <t>ZQH26209</t>
  </si>
  <si>
    <t>34.</t>
  </si>
  <si>
    <t>ZQH26210</t>
  </si>
  <si>
    <t>35.</t>
  </si>
  <si>
    <t>ZQH26211</t>
  </si>
  <si>
    <t>36.</t>
  </si>
  <si>
    <t>ZQH26212</t>
  </si>
  <si>
    <t>37.</t>
  </si>
  <si>
    <t>1AA1-G-A001</t>
  </si>
  <si>
    <t>38.</t>
  </si>
  <si>
    <t>1AA1-G-A002</t>
  </si>
  <si>
    <t>39.</t>
  </si>
  <si>
    <t>1AA1-G-A003</t>
  </si>
  <si>
    <t>40.</t>
  </si>
  <si>
    <t>1AA1-G-A004</t>
  </si>
  <si>
    <t>42.</t>
  </si>
  <si>
    <t>51131398XA</t>
  </si>
  <si>
    <t>A（88.5尺寸改77，Y24变成奉中冲孔）</t>
  </si>
  <si>
    <t>43.</t>
  </si>
  <si>
    <t>51131398XB</t>
  </si>
  <si>
    <t>44.</t>
  </si>
  <si>
    <t>51131398XC</t>
  </si>
  <si>
    <t>45.</t>
  </si>
  <si>
    <t>51131398XD</t>
  </si>
  <si>
    <t>46.</t>
  </si>
  <si>
    <t>51131398XE</t>
  </si>
  <si>
    <t>47.</t>
  </si>
  <si>
    <t>51131398XF</t>
  </si>
  <si>
    <t>48.</t>
  </si>
  <si>
    <t>51131401XM</t>
  </si>
  <si>
    <t>A(折弯A尺寸不变，总长缩50）</t>
  </si>
  <si>
    <t>49.</t>
  </si>
  <si>
    <t>51131401XN</t>
  </si>
  <si>
    <t>50.</t>
  </si>
  <si>
    <t>51131401XP</t>
  </si>
  <si>
    <t>51.</t>
  </si>
  <si>
    <t>51131401XQ</t>
  </si>
  <si>
    <t>52.</t>
  </si>
  <si>
    <t>51131401XR</t>
  </si>
  <si>
    <t>53.</t>
  </si>
  <si>
    <t>51131401XS</t>
  </si>
  <si>
    <t>54.</t>
  </si>
  <si>
    <t>ABX34375G01-FQ</t>
  </si>
  <si>
    <t>下桩B</t>
  </si>
  <si>
    <t>55.</t>
  </si>
  <si>
    <t>ABX34376G01-FQ</t>
  </si>
  <si>
    <t>56.</t>
  </si>
  <si>
    <t>ABX34377G01-FQ</t>
  </si>
  <si>
    <t>57.</t>
  </si>
  <si>
    <t>3ABX34378G01-FQ</t>
  </si>
  <si>
    <t>58.</t>
  </si>
  <si>
    <t>ABX34379G01-FQ</t>
  </si>
  <si>
    <t>59.</t>
  </si>
  <si>
    <t>ABX34380G01-FQ</t>
  </si>
  <si>
    <t>60.</t>
  </si>
  <si>
    <t>上桩B</t>
  </si>
  <si>
    <t>61.</t>
  </si>
  <si>
    <t>62.</t>
  </si>
  <si>
    <t>63.</t>
  </si>
  <si>
    <t>64.</t>
  </si>
  <si>
    <t>65.</t>
  </si>
  <si>
    <t>66.</t>
  </si>
  <si>
    <t>1AA1-G-B001</t>
  </si>
  <si>
    <t>67.</t>
  </si>
  <si>
    <t>1AA1-G-B002</t>
  </si>
  <si>
    <t>68.</t>
  </si>
  <si>
    <t>1AA1-G-B003</t>
  </si>
  <si>
    <t>69.</t>
  </si>
  <si>
    <t>1AA1-G-B004</t>
  </si>
  <si>
    <t>71.</t>
  </si>
  <si>
    <t>51131395XN</t>
  </si>
  <si>
    <t>B（88.5尺寸改77，Y24变成奉中冲孔）</t>
  </si>
  <si>
    <t>72.</t>
  </si>
  <si>
    <t>51131395XM</t>
  </si>
  <si>
    <t>73.</t>
  </si>
  <si>
    <t>51131395XP</t>
  </si>
  <si>
    <t>74.</t>
  </si>
  <si>
    <t>51131395XQ</t>
  </si>
  <si>
    <t>75.</t>
  </si>
  <si>
    <t>51131395XR</t>
  </si>
  <si>
    <t>76.</t>
  </si>
  <si>
    <t>51131395XS</t>
  </si>
  <si>
    <t>77.</t>
  </si>
  <si>
    <t>51131401XA</t>
  </si>
  <si>
    <t>B(折弯A尺寸不变，总长缩50）</t>
  </si>
  <si>
    <t>78.</t>
  </si>
  <si>
    <t>51131401XB</t>
  </si>
  <si>
    <t>79.</t>
  </si>
  <si>
    <t>51131401XC</t>
  </si>
  <si>
    <t>80.</t>
  </si>
  <si>
    <t>51131401XD</t>
  </si>
  <si>
    <t>81.</t>
  </si>
  <si>
    <t>51131401XE</t>
  </si>
  <si>
    <t>82.</t>
  </si>
  <si>
    <t>51131401XF</t>
  </si>
  <si>
    <t>83.</t>
  </si>
  <si>
    <t>ABX34369G01-FQ</t>
  </si>
  <si>
    <t>下桩C</t>
  </si>
  <si>
    <t>84.</t>
  </si>
  <si>
    <t>ABX34370G01-FQ</t>
  </si>
  <si>
    <t>85.</t>
  </si>
  <si>
    <t>ABX34371G01-FQ</t>
  </si>
  <si>
    <t>86.</t>
  </si>
  <si>
    <t>ABX34372G01-FQ</t>
  </si>
  <si>
    <t>87.</t>
  </si>
  <si>
    <t>ABX34373G01-FQ</t>
  </si>
  <si>
    <t>88.</t>
  </si>
  <si>
    <t>ABX34374G01-FQ</t>
  </si>
  <si>
    <t>89.</t>
  </si>
  <si>
    <t>ZQH26201</t>
  </si>
  <si>
    <t>上桩C</t>
  </si>
  <si>
    <t>90.</t>
  </si>
  <si>
    <t>ZQH26202</t>
  </si>
  <si>
    <t>91.</t>
  </si>
  <si>
    <t>ZQH26203</t>
  </si>
  <si>
    <t>92.</t>
  </si>
  <si>
    <t>ZQH26204</t>
  </si>
  <si>
    <t>93.</t>
  </si>
  <si>
    <t>ZQH26205</t>
  </si>
  <si>
    <t>94.</t>
  </si>
  <si>
    <t>ZQH26206</t>
  </si>
  <si>
    <t>95.</t>
  </si>
  <si>
    <t>1AA1-G-C001</t>
  </si>
  <si>
    <t>96.</t>
  </si>
  <si>
    <t>1AA1-G-C002</t>
  </si>
  <si>
    <t>97.</t>
  </si>
  <si>
    <t>1AA1-G-C003</t>
  </si>
  <si>
    <t>98.</t>
  </si>
  <si>
    <t>1AA1-G-C004</t>
  </si>
  <si>
    <t>100.</t>
  </si>
  <si>
    <t>51131395XG</t>
  </si>
  <si>
    <t>C（88.5尺寸改77，Y24变成奉中冲孔）</t>
  </si>
  <si>
    <t>101.</t>
  </si>
  <si>
    <t>51131395XH</t>
  </si>
  <si>
    <t>102.</t>
  </si>
  <si>
    <t>51131395XI</t>
  </si>
  <si>
    <t>103.</t>
  </si>
  <si>
    <t>51131395XJ</t>
  </si>
  <si>
    <t>104.</t>
  </si>
  <si>
    <t>51131395XK</t>
  </si>
  <si>
    <t>105.</t>
  </si>
  <si>
    <t>51131395XL</t>
  </si>
  <si>
    <t>106.</t>
  </si>
  <si>
    <t>51131401XG</t>
  </si>
  <si>
    <t>C(折弯A尺寸不变，总长缩50）</t>
  </si>
  <si>
    <t>107.</t>
  </si>
  <si>
    <t>51131401XH</t>
  </si>
  <si>
    <t>108.</t>
  </si>
  <si>
    <t>51131401XI</t>
  </si>
  <si>
    <t>109.</t>
  </si>
  <si>
    <t>51131401XJ</t>
  </si>
  <si>
    <t>110.</t>
  </si>
  <si>
    <t>51131401XK</t>
  </si>
  <si>
    <t>111.</t>
  </si>
  <si>
    <t>51131401XL</t>
  </si>
  <si>
    <t>112.</t>
  </si>
  <si>
    <t>ABX34365-G-FQ-7</t>
  </si>
  <si>
    <t>113.</t>
  </si>
  <si>
    <t>1AA1出线垫块</t>
  </si>
  <si>
    <t>114.</t>
  </si>
  <si>
    <t>1AA3ZQH3267402</t>
  </si>
  <si>
    <t>接地排</t>
  </si>
  <si>
    <t>115.</t>
  </si>
  <si>
    <t>接地排前升-14孔</t>
  </si>
  <si>
    <r>
      <rPr>
        <sz val="10.5"/>
        <rFont val="Arial"/>
        <charset val="134"/>
      </rPr>
      <t>14</t>
    </r>
    <r>
      <rPr>
        <sz val="10.5"/>
        <rFont val="宋体"/>
        <charset val="134"/>
      </rPr>
      <t>的孔</t>
    </r>
  </si>
  <si>
    <t>116.</t>
  </si>
  <si>
    <t>ABX34393G01-FQ</t>
  </si>
  <si>
    <t>水平排</t>
  </si>
  <si>
    <t>117.</t>
  </si>
  <si>
    <t>鱼形排</t>
  </si>
  <si>
    <t>118.</t>
  </si>
  <si>
    <r>
      <rPr>
        <sz val="10.5"/>
        <rFont val="宋体"/>
        <charset val="134"/>
      </rPr>
      <t>散热片缩</t>
    </r>
    <r>
      <rPr>
        <sz val="10.5"/>
        <rFont val="Arial"/>
        <charset val="134"/>
      </rPr>
      <t>20</t>
    </r>
  </si>
  <si>
    <t>119.</t>
  </si>
  <si>
    <t>铜排设计员：</t>
  </si>
  <si>
    <t>崔晓清</t>
  </si>
  <si>
    <t>日期：</t>
  </si>
  <si>
    <t>审核：</t>
  </si>
  <si>
    <t>注意：清单落料仅供制作参考，最终请按图纸尺寸制作零件</t>
  </si>
  <si>
    <t>交接签字：</t>
  </si>
  <si>
    <t>铜排制作：</t>
  </si>
  <si>
    <t>铜排仓库：</t>
  </si>
  <si>
    <t>此单一式两份，一份铜排制作留底，一份铜排仓库保存归档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</si>
</sst>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0"/>
      <name val="Arial"/>
      <charset val="134"/>
    </font>
    <font>
      <sz val="10"/>
      <color indexed="9"/>
      <name val="Arial"/>
      <charset val="134"/>
    </font>
    <font>
      <b/>
      <sz val="18"/>
      <name val="Arial"/>
      <charset val="134"/>
    </font>
    <font>
      <b/>
      <sz val="18"/>
      <name val="宋体"/>
      <charset val="134"/>
    </font>
    <font>
      <b/>
      <sz val="10"/>
      <name val="宋体"/>
      <charset val="134"/>
    </font>
    <font>
      <b/>
      <sz val="10.5"/>
      <name val="宋体"/>
      <charset val="134"/>
    </font>
    <font>
      <b/>
      <sz val="10.5"/>
      <name val="Arial"/>
      <charset val="134"/>
    </font>
    <font>
      <sz val="10.5"/>
      <name val="Arial"/>
      <charset val="134"/>
    </font>
    <font>
      <sz val="12"/>
      <name val="宋体"/>
      <charset val="134"/>
    </font>
    <font>
      <sz val="10.5"/>
      <name val="宋体"/>
      <charset val="134"/>
    </font>
    <font>
      <sz val="20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9" borderId="3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0" borderId="37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38" applyNumberFormat="0" applyFill="0" applyAlignment="0" applyProtection="0">
      <alignment vertical="center"/>
    </xf>
    <xf numFmtId="0" fontId="27" fillId="0" borderId="3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0" borderId="3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9" fillId="21" borderId="39" applyNumberFormat="0" applyAlignment="0" applyProtection="0">
      <alignment vertical="center"/>
    </xf>
    <xf numFmtId="0" fontId="28" fillId="21" borderId="35" applyNumberFormat="0" applyAlignment="0" applyProtection="0">
      <alignment vertical="center"/>
    </xf>
    <xf numFmtId="0" fontId="16" fillId="8" borderId="34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30" fillId="0" borderId="40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Protection="1">
      <alignment vertical="center"/>
      <protection hidden="1"/>
    </xf>
    <xf numFmtId="0" fontId="0" fillId="2" borderId="0" xfId="0" applyFont="1" applyFill="1" applyProtection="1">
      <alignment vertical="center"/>
      <protection hidden="1"/>
    </xf>
    <xf numFmtId="0" fontId="0" fillId="2" borderId="1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wrapText="1"/>
    </xf>
    <xf numFmtId="0" fontId="0" fillId="0" borderId="2" xfId="0" applyFont="1" applyFill="1" applyBorder="1" applyAlignment="1">
      <alignment horizontal="left" wrapText="1"/>
    </xf>
    <xf numFmtId="0" fontId="0" fillId="2" borderId="3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2" borderId="3" xfId="0" applyFill="1" applyBorder="1">
      <alignment vertical="center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top" wrapText="1"/>
    </xf>
    <xf numFmtId="0" fontId="0" fillId="0" borderId="13" xfId="0" applyBorder="1">
      <alignment vertical="center"/>
    </xf>
    <xf numFmtId="0" fontId="4" fillId="4" borderId="10" xfId="0" applyFont="1" applyFill="1" applyBorder="1" applyAlignment="1">
      <alignment horizontal="left" vertical="top" wrapText="1"/>
    </xf>
    <xf numFmtId="0" fontId="4" fillId="4" borderId="10" xfId="0" applyFont="1" applyFill="1" applyBorder="1" applyAlignment="1">
      <alignment horizontal="left" vertical="center" wrapText="1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6" fillId="2" borderId="1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left" vertical="top" wrapText="1"/>
    </xf>
    <xf numFmtId="0" fontId="4" fillId="4" borderId="16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right" wrapText="1"/>
    </xf>
    <xf numFmtId="0" fontId="1" fillId="2" borderId="23" xfId="0" applyFont="1" applyFill="1" applyBorder="1">
      <alignment vertical="center"/>
    </xf>
    <xf numFmtId="0" fontId="1" fillId="2" borderId="0" xfId="0" applyFont="1" applyFill="1" applyBorder="1" applyProtection="1">
      <alignment vertical="center"/>
      <protection hidden="1"/>
    </xf>
    <xf numFmtId="0" fontId="0" fillId="0" borderId="4" xfId="0" applyFill="1" applyBorder="1" applyAlignment="1">
      <alignment horizontal="right" wrapText="1"/>
    </xf>
    <xf numFmtId="0" fontId="0" fillId="0" borderId="4" xfId="0" applyFont="1" applyFill="1" applyBorder="1" applyAlignment="1">
      <alignment horizontal="right" wrapText="1"/>
    </xf>
    <xf numFmtId="0" fontId="1" fillId="2" borderId="24" xfId="0" applyFont="1" applyFill="1" applyBorder="1">
      <alignment vertical="center"/>
    </xf>
    <xf numFmtId="0" fontId="4" fillId="3" borderId="25" xfId="0" applyFont="1" applyFill="1" applyBorder="1" applyAlignment="1">
      <alignment horizontal="left" vertical="center" wrapText="1"/>
    </xf>
    <xf numFmtId="0" fontId="0" fillId="2" borderId="24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 wrapText="1"/>
    </xf>
    <xf numFmtId="176" fontId="8" fillId="2" borderId="10" xfId="0" applyNumberFormat="1" applyFont="1" applyFill="1" applyBorder="1" applyAlignment="1">
      <alignment horizontal="center"/>
    </xf>
    <xf numFmtId="0" fontId="0" fillId="2" borderId="0" xfId="0" applyFont="1" applyFill="1" applyBorder="1" applyProtection="1">
      <alignment vertical="center"/>
      <protection hidden="1"/>
    </xf>
    <xf numFmtId="0" fontId="7" fillId="2" borderId="1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left" vertical="center" wrapText="1"/>
    </xf>
    <xf numFmtId="0" fontId="0" fillId="5" borderId="16" xfId="0" applyFill="1" applyBorder="1" applyAlignment="1">
      <alignment horizontal="left" vertical="center"/>
    </xf>
    <xf numFmtId="0" fontId="4" fillId="0" borderId="16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left" vertical="center" wrapText="1"/>
    </xf>
    <xf numFmtId="14" fontId="4" fillId="0" borderId="16" xfId="0" applyNumberFormat="1" applyFont="1" applyFill="1" applyBorder="1" applyAlignment="1">
      <alignment horizontal="left" vertical="center" wrapText="1"/>
    </xf>
    <xf numFmtId="0" fontId="5" fillId="2" borderId="31" xfId="0" applyFont="1" applyFill="1" applyBorder="1" applyAlignment="1">
      <alignment horizontal="center" vertical="center"/>
    </xf>
    <xf numFmtId="0" fontId="0" fillId="2" borderId="0" xfId="0" applyFont="1" applyFill="1" applyAlignment="1" applyProtection="1">
      <alignment horizontal="left" vertical="center"/>
      <protection hidden="1"/>
    </xf>
    <xf numFmtId="0" fontId="4" fillId="4" borderId="30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left" vertical="center" wrapText="1"/>
    </xf>
    <xf numFmtId="0" fontId="0" fillId="2" borderId="14" xfId="0" applyFill="1" applyBorder="1">
      <alignment vertical="center"/>
    </xf>
    <xf numFmtId="0" fontId="9" fillId="2" borderId="31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4" fillId="0" borderId="28" xfId="0" applyFont="1" applyFill="1" applyBorder="1" applyAlignment="1">
      <alignment horizontal="left" vertical="center" wrapText="1"/>
    </xf>
    <xf numFmtId="0" fontId="0" fillId="2" borderId="32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342900</xdr:colOff>
      <xdr:row>1</xdr:row>
      <xdr:rowOff>66675</xdr:rowOff>
    </xdr:from>
    <xdr:to>
      <xdr:col>3</xdr:col>
      <xdr:colOff>981075</xdr:colOff>
      <xdr:row>2</xdr:row>
      <xdr:rowOff>28575</xdr:rowOff>
    </xdr:to>
    <xdr:pic>
      <xdr:nvPicPr>
        <xdr:cNvPr id="1025" name="Picture 1" descr="rId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47750" y="152400"/>
          <a:ext cx="638175" cy="257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238125</xdr:colOff>
      <xdr:row>53</xdr:row>
      <xdr:rowOff>0</xdr:rowOff>
    </xdr:from>
    <xdr:to>
      <xdr:col>3</xdr:col>
      <xdr:colOff>314325</xdr:colOff>
      <xdr:row>54</xdr:row>
      <xdr:rowOff>85725</xdr:rowOff>
    </xdr:to>
    <xdr:sp>
      <xdr:nvSpPr>
        <xdr:cNvPr id="2" name="Text Box 18331"/>
        <xdr:cNvSpPr txBox="1">
          <a:spLocks noChangeArrowheads="1"/>
        </xdr:cNvSpPr>
      </xdr:nvSpPr>
      <xdr:spPr>
        <a:xfrm>
          <a:off x="942975" y="13687425"/>
          <a:ext cx="76200" cy="3524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3</xdr:col>
      <xdr:colOff>238125</xdr:colOff>
      <xdr:row>54</xdr:row>
      <xdr:rowOff>0</xdr:rowOff>
    </xdr:from>
    <xdr:to>
      <xdr:col>3</xdr:col>
      <xdr:colOff>314325</xdr:colOff>
      <xdr:row>55</xdr:row>
      <xdr:rowOff>85725</xdr:rowOff>
    </xdr:to>
    <xdr:sp>
      <xdr:nvSpPr>
        <xdr:cNvPr id="3" name="Text Box 18331"/>
        <xdr:cNvSpPr txBox="1">
          <a:spLocks noChangeArrowheads="1"/>
        </xdr:cNvSpPr>
      </xdr:nvSpPr>
      <xdr:spPr>
        <a:xfrm>
          <a:off x="942975" y="13954125"/>
          <a:ext cx="76200" cy="3524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3</xdr:col>
      <xdr:colOff>238125</xdr:colOff>
      <xdr:row>53</xdr:row>
      <xdr:rowOff>0</xdr:rowOff>
    </xdr:from>
    <xdr:to>
      <xdr:col>3</xdr:col>
      <xdr:colOff>314325</xdr:colOff>
      <xdr:row>54</xdr:row>
      <xdr:rowOff>85725</xdr:rowOff>
    </xdr:to>
    <xdr:sp>
      <xdr:nvSpPr>
        <xdr:cNvPr id="4" name="Text Box 18331"/>
        <xdr:cNvSpPr txBox="1">
          <a:spLocks noChangeArrowheads="1"/>
        </xdr:cNvSpPr>
      </xdr:nvSpPr>
      <xdr:spPr>
        <a:xfrm>
          <a:off x="942975" y="13687425"/>
          <a:ext cx="76200" cy="3524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3</xdr:col>
      <xdr:colOff>238125</xdr:colOff>
      <xdr:row>54</xdr:row>
      <xdr:rowOff>0</xdr:rowOff>
    </xdr:from>
    <xdr:to>
      <xdr:col>3</xdr:col>
      <xdr:colOff>314325</xdr:colOff>
      <xdr:row>55</xdr:row>
      <xdr:rowOff>85725</xdr:rowOff>
    </xdr:to>
    <xdr:sp>
      <xdr:nvSpPr>
        <xdr:cNvPr id="5" name="Text Box 18331"/>
        <xdr:cNvSpPr txBox="1">
          <a:spLocks noChangeArrowheads="1"/>
        </xdr:cNvSpPr>
      </xdr:nvSpPr>
      <xdr:spPr>
        <a:xfrm>
          <a:off x="942975" y="13954125"/>
          <a:ext cx="76200" cy="3524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3</xdr:col>
      <xdr:colOff>238125</xdr:colOff>
      <xdr:row>54</xdr:row>
      <xdr:rowOff>0</xdr:rowOff>
    </xdr:from>
    <xdr:to>
      <xdr:col>3</xdr:col>
      <xdr:colOff>314325</xdr:colOff>
      <xdr:row>55</xdr:row>
      <xdr:rowOff>85725</xdr:rowOff>
    </xdr:to>
    <xdr:sp>
      <xdr:nvSpPr>
        <xdr:cNvPr id="6" name="Text Box 18331"/>
        <xdr:cNvSpPr txBox="1">
          <a:spLocks noChangeArrowheads="1"/>
        </xdr:cNvSpPr>
      </xdr:nvSpPr>
      <xdr:spPr>
        <a:xfrm>
          <a:off x="942975" y="13954125"/>
          <a:ext cx="76200" cy="3524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3</xdr:col>
      <xdr:colOff>238125</xdr:colOff>
      <xdr:row>82</xdr:row>
      <xdr:rowOff>0</xdr:rowOff>
    </xdr:from>
    <xdr:to>
      <xdr:col>3</xdr:col>
      <xdr:colOff>314325</xdr:colOff>
      <xdr:row>83</xdr:row>
      <xdr:rowOff>85725</xdr:rowOff>
    </xdr:to>
    <xdr:sp>
      <xdr:nvSpPr>
        <xdr:cNvPr id="7" name="Text Box 18331"/>
        <xdr:cNvSpPr txBox="1">
          <a:spLocks noChangeArrowheads="1"/>
        </xdr:cNvSpPr>
      </xdr:nvSpPr>
      <xdr:spPr>
        <a:xfrm>
          <a:off x="942975" y="21421725"/>
          <a:ext cx="76200" cy="3524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3</xdr:col>
      <xdr:colOff>238125</xdr:colOff>
      <xdr:row>82</xdr:row>
      <xdr:rowOff>0</xdr:rowOff>
    </xdr:from>
    <xdr:to>
      <xdr:col>3</xdr:col>
      <xdr:colOff>314325</xdr:colOff>
      <xdr:row>83</xdr:row>
      <xdr:rowOff>85725</xdr:rowOff>
    </xdr:to>
    <xdr:sp>
      <xdr:nvSpPr>
        <xdr:cNvPr id="8" name="Text Box 18331"/>
        <xdr:cNvSpPr txBox="1">
          <a:spLocks noChangeArrowheads="1"/>
        </xdr:cNvSpPr>
      </xdr:nvSpPr>
      <xdr:spPr>
        <a:xfrm>
          <a:off x="942975" y="21421725"/>
          <a:ext cx="76200" cy="3524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1"/>
  <sheetViews>
    <sheetView tabSelected="1" topLeftCell="A9" workbookViewId="0">
      <selection activeCell="J20" sqref="J20"/>
    </sheetView>
  </sheetViews>
  <sheetFormatPr defaultColWidth="9.14285714285714" defaultRowHeight="12.75"/>
  <cols>
    <col min="1" max="1" width="1.57142857142857" style="2" customWidth="1"/>
    <col min="2" max="2" width="2.42857142857143" style="2" customWidth="1"/>
    <col min="3" max="3" width="6.57142857142857" style="3" customWidth="1"/>
    <col min="4" max="5" width="15.4285714285714" style="3" customWidth="1"/>
    <col min="6" max="7" width="14" style="3" customWidth="1"/>
    <col min="8" max="8" width="10.8571428571429" style="3" customWidth="1"/>
    <col min="9" max="11" width="10.1428571428571" style="3" customWidth="1"/>
    <col min="12" max="12" width="11" style="3" customWidth="1"/>
    <col min="13" max="13" width="2.57142857142857" style="3" customWidth="1"/>
    <col min="14" max="14" width="8.57142857142857" style="4" hidden="1" customWidth="1"/>
    <col min="15" max="15" width="13" style="4" hidden="1" customWidth="1"/>
    <col min="16" max="20" width="9" style="4" hidden="1" customWidth="1"/>
    <col min="21" max="21" width="9" style="5" hidden="1" customWidth="1"/>
    <col min="22" max="22" width="9.14285714285714" style="5"/>
    <col min="23" max="16384" width="9.14285714285714" style="2"/>
  </cols>
  <sheetData>
    <row r="1" ht="6.75" customHeight="1"/>
    <row r="2" s="1" customFormat="1" ht="23.25" customHeight="1" spans="2:22">
      <c r="B2" s="6"/>
      <c r="C2" s="7" t="s">
        <v>0</v>
      </c>
      <c r="D2" s="7"/>
      <c r="E2" s="8" t="s">
        <v>1</v>
      </c>
      <c r="F2" s="8"/>
      <c r="G2" s="8"/>
      <c r="H2" s="9"/>
      <c r="I2" s="53" t="s">
        <v>2</v>
      </c>
      <c r="J2" s="54" t="s">
        <v>3</v>
      </c>
      <c r="K2" s="54"/>
      <c r="L2" s="54"/>
      <c r="M2" s="55"/>
      <c r="N2" s="56"/>
      <c r="O2" s="56"/>
      <c r="P2" s="56"/>
      <c r="Q2" s="56"/>
      <c r="R2" s="56"/>
      <c r="S2" s="56"/>
      <c r="T2" s="56"/>
      <c r="U2" s="68"/>
      <c r="V2" s="68"/>
    </row>
    <row r="3" s="1" customFormat="1" ht="29.25" customHeight="1" spans="2:22">
      <c r="B3" s="10"/>
      <c r="C3" s="11"/>
      <c r="D3" s="11"/>
      <c r="E3" s="11"/>
      <c r="F3" s="12" t="s">
        <v>4</v>
      </c>
      <c r="G3" s="12"/>
      <c r="H3" s="12"/>
      <c r="I3" s="12"/>
      <c r="J3" s="57" t="s">
        <v>5</v>
      </c>
      <c r="K3" s="58"/>
      <c r="L3" s="58"/>
      <c r="M3" s="59"/>
      <c r="N3" s="56"/>
      <c r="O3" s="56"/>
      <c r="P3" s="56"/>
      <c r="Q3" s="56"/>
      <c r="R3" s="56"/>
      <c r="S3" s="56"/>
      <c r="T3" s="56"/>
      <c r="U3" s="68"/>
      <c r="V3" s="68"/>
    </row>
    <row r="4" ht="15.75" customHeight="1" spans="1:13">
      <c r="A4" s="1"/>
      <c r="B4" s="13"/>
      <c r="C4" s="14" t="s">
        <v>6</v>
      </c>
      <c r="D4" s="15"/>
      <c r="E4" s="16"/>
      <c r="F4" s="16"/>
      <c r="G4" s="16"/>
      <c r="H4" s="16"/>
      <c r="I4" s="16"/>
      <c r="J4" s="16"/>
      <c r="K4" s="16"/>
      <c r="L4" s="60"/>
      <c r="M4" s="61"/>
    </row>
    <row r="5" ht="18.75" customHeight="1" spans="1:13">
      <c r="A5" s="1"/>
      <c r="B5" s="13"/>
      <c r="C5" s="17" t="s">
        <v>7</v>
      </c>
      <c r="D5" s="18"/>
      <c r="E5" s="19" t="s">
        <v>8</v>
      </c>
      <c r="F5" s="20"/>
      <c r="G5" s="20"/>
      <c r="H5" s="21" t="s">
        <v>9</v>
      </c>
      <c r="I5" s="18"/>
      <c r="J5" s="62" t="s">
        <v>10</v>
      </c>
      <c r="K5" s="63"/>
      <c r="L5" s="64"/>
      <c r="M5" s="61"/>
    </row>
    <row r="6" ht="18.75" customHeight="1" spans="1:13">
      <c r="A6" s="1"/>
      <c r="B6" s="13"/>
      <c r="C6" s="22" t="s">
        <v>11</v>
      </c>
      <c r="D6" s="23"/>
      <c r="E6" s="19" t="s">
        <v>12</v>
      </c>
      <c r="F6" s="24" t="s">
        <v>13</v>
      </c>
      <c r="G6" s="20">
        <v>40</v>
      </c>
      <c r="H6" s="25" t="s">
        <v>14</v>
      </c>
      <c r="I6" s="25"/>
      <c r="J6" s="62" t="s">
        <v>15</v>
      </c>
      <c r="K6" s="63"/>
      <c r="L6" s="64"/>
      <c r="M6" s="61"/>
    </row>
    <row r="7" ht="18.75" customHeight="1" spans="1:13">
      <c r="A7" s="1"/>
      <c r="B7" s="13"/>
      <c r="C7" s="26"/>
      <c r="D7" s="27"/>
      <c r="E7" s="28"/>
      <c r="F7" s="29"/>
      <c r="G7" s="28"/>
      <c r="H7" s="30" t="s">
        <v>16</v>
      </c>
      <c r="I7" s="30"/>
      <c r="J7" s="28"/>
      <c r="K7" s="28"/>
      <c r="L7" s="65"/>
      <c r="M7" s="61"/>
    </row>
    <row r="8" ht="8.25" customHeight="1" spans="1:13">
      <c r="A8" s="1"/>
      <c r="B8" s="13"/>
      <c r="C8" s="31"/>
      <c r="D8" s="31"/>
      <c r="E8" s="31"/>
      <c r="F8" s="31"/>
      <c r="G8" s="31"/>
      <c r="H8" s="31"/>
      <c r="I8" s="31"/>
      <c r="J8" s="31"/>
      <c r="K8" s="31"/>
      <c r="L8" s="31"/>
      <c r="M8" s="61"/>
    </row>
    <row r="9" ht="18" customHeight="1" spans="1:13">
      <c r="A9" s="1"/>
      <c r="B9" s="13"/>
      <c r="C9" s="14" t="s">
        <v>17</v>
      </c>
      <c r="D9" s="16"/>
      <c r="E9" s="16"/>
      <c r="F9" s="16"/>
      <c r="G9" s="16"/>
      <c r="H9" s="16"/>
      <c r="I9" s="16"/>
      <c r="J9" s="16"/>
      <c r="K9" s="16"/>
      <c r="L9" s="60"/>
      <c r="M9" s="61"/>
    </row>
    <row r="10" ht="17.25" customHeight="1" spans="1:13">
      <c r="A10" s="1"/>
      <c r="B10" s="13"/>
      <c r="C10" s="32" t="s">
        <v>18</v>
      </c>
      <c r="D10" s="33" t="s">
        <v>19</v>
      </c>
      <c r="E10" s="33"/>
      <c r="F10" s="33" t="s">
        <v>20</v>
      </c>
      <c r="G10" s="33"/>
      <c r="H10" s="33" t="s">
        <v>21</v>
      </c>
      <c r="I10" s="33" t="s">
        <v>22</v>
      </c>
      <c r="J10" s="33" t="s">
        <v>23</v>
      </c>
      <c r="K10" s="33" t="s">
        <v>24</v>
      </c>
      <c r="L10" s="66" t="s">
        <v>25</v>
      </c>
      <c r="M10" s="61"/>
    </row>
    <row r="11" ht="21" customHeight="1" spans="1:23">
      <c r="A11" s="1"/>
      <c r="B11" s="13"/>
      <c r="C11" s="34" t="s">
        <v>26</v>
      </c>
      <c r="D11" s="35" t="s">
        <v>27</v>
      </c>
      <c r="E11" s="36"/>
      <c r="F11" s="37" t="s">
        <v>28</v>
      </c>
      <c r="G11" s="38"/>
      <c r="H11" s="39">
        <v>5</v>
      </c>
      <c r="I11" s="39">
        <v>125</v>
      </c>
      <c r="J11" s="39">
        <f>448+67+86</f>
        <v>601</v>
      </c>
      <c r="K11" s="39">
        <f>W11*4</f>
        <v>4</v>
      </c>
      <c r="L11" s="67">
        <f>K11*J11*I11*H11*8.9/1000000</f>
        <v>13.37225</v>
      </c>
      <c r="M11" s="61"/>
      <c r="W11" s="39">
        <v>1</v>
      </c>
    </row>
    <row r="12" ht="21" customHeight="1" spans="1:23">
      <c r="A12" s="1"/>
      <c r="B12" s="13"/>
      <c r="C12" s="34" t="s">
        <v>29</v>
      </c>
      <c r="D12" s="35" t="s">
        <v>30</v>
      </c>
      <c r="E12" s="36"/>
      <c r="F12" s="40"/>
      <c r="G12" s="41"/>
      <c r="H12" s="39">
        <v>5</v>
      </c>
      <c r="I12" s="39">
        <v>125</v>
      </c>
      <c r="J12" s="39">
        <f>442+62+95</f>
        <v>599</v>
      </c>
      <c r="K12" s="39">
        <f t="shared" ref="K12:K43" si="0">W12*4</f>
        <v>4</v>
      </c>
      <c r="L12" s="67">
        <f t="shared" ref="L12:L17" si="1">K12*J12*I12*H12*8.9/1000000</f>
        <v>13.32775</v>
      </c>
      <c r="M12" s="61"/>
      <c r="W12" s="39">
        <v>1</v>
      </c>
    </row>
    <row r="13" ht="21" customHeight="1" spans="1:23">
      <c r="A13" s="1"/>
      <c r="B13" s="13"/>
      <c r="C13" s="34" t="s">
        <v>31</v>
      </c>
      <c r="D13" s="35" t="s">
        <v>32</v>
      </c>
      <c r="E13" s="36"/>
      <c r="F13" s="40"/>
      <c r="G13" s="41"/>
      <c r="H13" s="39">
        <v>5</v>
      </c>
      <c r="I13" s="39">
        <v>125</v>
      </c>
      <c r="J13" s="39">
        <f>436+56+103</f>
        <v>595</v>
      </c>
      <c r="K13" s="39">
        <f t="shared" si="0"/>
        <v>4</v>
      </c>
      <c r="L13" s="67">
        <f t="shared" si="1"/>
        <v>13.23875</v>
      </c>
      <c r="M13" s="61"/>
      <c r="W13" s="39">
        <v>1</v>
      </c>
    </row>
    <row r="14" ht="21" customHeight="1" spans="1:23">
      <c r="A14" s="1"/>
      <c r="B14" s="13"/>
      <c r="C14" s="34" t="s">
        <v>33</v>
      </c>
      <c r="D14" s="35" t="s">
        <v>34</v>
      </c>
      <c r="E14" s="36"/>
      <c r="F14" s="40"/>
      <c r="G14" s="41"/>
      <c r="H14" s="39">
        <v>5</v>
      </c>
      <c r="I14" s="39">
        <v>125</v>
      </c>
      <c r="J14" s="39">
        <f>92+55+333+44+66</f>
        <v>590</v>
      </c>
      <c r="K14" s="39">
        <f t="shared" si="0"/>
        <v>4</v>
      </c>
      <c r="L14" s="67">
        <f t="shared" si="1"/>
        <v>13.1275</v>
      </c>
      <c r="M14" s="61"/>
      <c r="W14" s="39">
        <v>1</v>
      </c>
    </row>
    <row r="15" ht="21" customHeight="1" spans="1:23">
      <c r="A15" s="1"/>
      <c r="B15" s="13"/>
      <c r="C15" s="34" t="s">
        <v>35</v>
      </c>
      <c r="D15" s="35" t="s">
        <v>36</v>
      </c>
      <c r="E15" s="36"/>
      <c r="F15" s="40"/>
      <c r="G15" s="41"/>
      <c r="H15" s="39">
        <v>5</v>
      </c>
      <c r="I15" s="39">
        <v>125</v>
      </c>
      <c r="J15" s="39">
        <f>102+48+331+44+63</f>
        <v>588</v>
      </c>
      <c r="K15" s="39">
        <f t="shared" si="0"/>
        <v>4</v>
      </c>
      <c r="L15" s="67">
        <f t="shared" si="1"/>
        <v>13.083</v>
      </c>
      <c r="M15" s="61"/>
      <c r="W15" s="39">
        <v>1</v>
      </c>
    </row>
    <row r="16" ht="21" customHeight="1" spans="1:23">
      <c r="A16" s="1"/>
      <c r="B16" s="13"/>
      <c r="C16" s="34" t="s">
        <v>37</v>
      </c>
      <c r="D16" s="35" t="s">
        <v>38</v>
      </c>
      <c r="E16" s="36"/>
      <c r="F16" s="42"/>
      <c r="G16" s="43"/>
      <c r="H16" s="39">
        <v>5</v>
      </c>
      <c r="I16" s="39">
        <v>125</v>
      </c>
      <c r="J16" s="39">
        <f>112+41+329+44+60</f>
        <v>586</v>
      </c>
      <c r="K16" s="39">
        <f t="shared" si="0"/>
        <v>4</v>
      </c>
      <c r="L16" s="67">
        <f t="shared" si="1"/>
        <v>13.0385</v>
      </c>
      <c r="M16" s="61"/>
      <c r="W16" s="39">
        <v>1</v>
      </c>
    </row>
    <row r="17" ht="21" customHeight="1" spans="1:23">
      <c r="A17" s="1"/>
      <c r="B17" s="13"/>
      <c r="C17" s="34" t="s">
        <v>39</v>
      </c>
      <c r="D17" s="35" t="s">
        <v>40</v>
      </c>
      <c r="E17" s="36"/>
      <c r="F17" s="37" t="s">
        <v>41</v>
      </c>
      <c r="G17" s="38"/>
      <c r="H17" s="39">
        <v>5</v>
      </c>
      <c r="I17" s="39">
        <v>125</v>
      </c>
      <c r="J17" s="39">
        <f>113+52+93+48+112</f>
        <v>418</v>
      </c>
      <c r="K17" s="39">
        <f t="shared" si="0"/>
        <v>4</v>
      </c>
      <c r="L17" s="67">
        <f t="shared" si="1"/>
        <v>9.3005</v>
      </c>
      <c r="M17" s="61"/>
      <c r="W17" s="39">
        <v>1</v>
      </c>
    </row>
    <row r="18" ht="21" customHeight="1" spans="1:23">
      <c r="A18" s="1"/>
      <c r="B18" s="13"/>
      <c r="C18" s="34" t="s">
        <v>42</v>
      </c>
      <c r="D18" s="35" t="s">
        <v>43</v>
      </c>
      <c r="E18" s="36"/>
      <c r="F18" s="40"/>
      <c r="G18" s="41"/>
      <c r="H18" s="39">
        <v>5</v>
      </c>
      <c r="I18" s="39">
        <v>125</v>
      </c>
      <c r="J18" s="39">
        <f>126+41+92+60+98</f>
        <v>417</v>
      </c>
      <c r="K18" s="39">
        <f t="shared" si="0"/>
        <v>4</v>
      </c>
      <c r="L18" s="67">
        <f t="shared" ref="L18:L26" si="2">K18*J18*I18*H18*8.9/1000000</f>
        <v>9.27825</v>
      </c>
      <c r="M18" s="61"/>
      <c r="W18" s="39">
        <v>1</v>
      </c>
    </row>
    <row r="19" ht="21" customHeight="1" spans="1:23">
      <c r="A19" s="1"/>
      <c r="B19" s="13"/>
      <c r="C19" s="34" t="s">
        <v>44</v>
      </c>
      <c r="D19" s="35" t="s">
        <v>45</v>
      </c>
      <c r="E19" s="36"/>
      <c r="F19" s="40"/>
      <c r="G19" s="41"/>
      <c r="H19" s="39">
        <v>5</v>
      </c>
      <c r="I19" s="39">
        <v>125</v>
      </c>
      <c r="J19" s="39">
        <f>129+41+92+71+86</f>
        <v>419</v>
      </c>
      <c r="K19" s="39">
        <f t="shared" si="0"/>
        <v>4</v>
      </c>
      <c r="L19" s="67">
        <f t="shared" si="2"/>
        <v>9.32275</v>
      </c>
      <c r="M19" s="61"/>
      <c r="W19" s="39">
        <v>1</v>
      </c>
    </row>
    <row r="20" ht="21" customHeight="1" spans="1:23">
      <c r="A20" s="1"/>
      <c r="B20" s="13"/>
      <c r="C20" s="34" t="s">
        <v>46</v>
      </c>
      <c r="D20" s="35" t="s">
        <v>47</v>
      </c>
      <c r="E20" s="36"/>
      <c r="F20" s="40"/>
      <c r="G20" s="41"/>
      <c r="H20" s="39">
        <v>5</v>
      </c>
      <c r="I20" s="39">
        <v>125</v>
      </c>
      <c r="J20" s="39">
        <f>129+41+96+59+110</f>
        <v>435</v>
      </c>
      <c r="K20" s="39">
        <f t="shared" si="0"/>
        <v>4</v>
      </c>
      <c r="L20" s="67">
        <f t="shared" si="2"/>
        <v>9.67875</v>
      </c>
      <c r="M20" s="61"/>
      <c r="W20" s="39">
        <v>1</v>
      </c>
    </row>
    <row r="21" ht="21" customHeight="1" spans="1:23">
      <c r="A21" s="1"/>
      <c r="B21" s="13"/>
      <c r="C21" s="34" t="s">
        <v>48</v>
      </c>
      <c r="D21" s="35" t="s">
        <v>49</v>
      </c>
      <c r="E21" s="36"/>
      <c r="F21" s="40"/>
      <c r="G21" s="41"/>
      <c r="H21" s="39">
        <v>5</v>
      </c>
      <c r="I21" s="39">
        <v>125</v>
      </c>
      <c r="J21" s="39">
        <f>126+41+104+65+101</f>
        <v>437</v>
      </c>
      <c r="K21" s="39">
        <f t="shared" si="0"/>
        <v>4</v>
      </c>
      <c r="L21" s="67">
        <f t="shared" si="2"/>
        <v>9.72325</v>
      </c>
      <c r="M21" s="61"/>
      <c r="W21" s="39">
        <v>1</v>
      </c>
    </row>
    <row r="22" ht="21" customHeight="1" spans="1:23">
      <c r="A22" s="1"/>
      <c r="B22" s="13"/>
      <c r="C22" s="34" t="s">
        <v>50</v>
      </c>
      <c r="D22" s="35" t="s">
        <v>51</v>
      </c>
      <c r="E22" s="36"/>
      <c r="F22" s="42"/>
      <c r="G22" s="43"/>
      <c r="H22" s="39">
        <v>5</v>
      </c>
      <c r="I22" s="39">
        <v>125</v>
      </c>
      <c r="J22" s="39">
        <f>113+52+112+71+92</f>
        <v>440</v>
      </c>
      <c r="K22" s="39">
        <f t="shared" si="0"/>
        <v>4</v>
      </c>
      <c r="L22" s="67">
        <f t="shared" si="2"/>
        <v>9.79</v>
      </c>
      <c r="M22" s="61"/>
      <c r="W22" s="39">
        <v>1</v>
      </c>
    </row>
    <row r="23" ht="21" customHeight="1" spans="1:23">
      <c r="A23" s="1"/>
      <c r="B23" s="13"/>
      <c r="C23" s="34" t="s">
        <v>52</v>
      </c>
      <c r="D23" s="35" t="s">
        <v>53</v>
      </c>
      <c r="E23" s="36"/>
      <c r="F23" s="44"/>
      <c r="G23" s="45"/>
      <c r="H23" s="39">
        <v>5</v>
      </c>
      <c r="I23" s="39">
        <v>125</v>
      </c>
      <c r="J23" s="39">
        <f>70+34+111+31+35</f>
        <v>281</v>
      </c>
      <c r="K23" s="39">
        <f t="shared" si="0"/>
        <v>8</v>
      </c>
      <c r="L23" s="67">
        <f t="shared" si="2"/>
        <v>12.5045</v>
      </c>
      <c r="M23" s="61"/>
      <c r="W23" s="39">
        <v>2</v>
      </c>
    </row>
    <row r="24" ht="21" customHeight="1" spans="1:23">
      <c r="A24" s="1"/>
      <c r="B24" s="13"/>
      <c r="C24" s="34" t="s">
        <v>54</v>
      </c>
      <c r="D24" s="35" t="s">
        <v>55</v>
      </c>
      <c r="E24" s="36"/>
      <c r="F24" s="44"/>
      <c r="G24" s="45"/>
      <c r="H24" s="39">
        <v>5</v>
      </c>
      <c r="I24" s="39">
        <v>125</v>
      </c>
      <c r="J24" s="39">
        <f>70+34+113+29+35</f>
        <v>281</v>
      </c>
      <c r="K24" s="39">
        <f t="shared" si="0"/>
        <v>4</v>
      </c>
      <c r="L24" s="67">
        <f t="shared" si="2"/>
        <v>6.25225</v>
      </c>
      <c r="M24" s="61"/>
      <c r="W24" s="39">
        <v>1</v>
      </c>
    </row>
    <row r="25" ht="21" customHeight="1" spans="1:23">
      <c r="A25" s="1"/>
      <c r="B25" s="13"/>
      <c r="C25" s="34" t="s">
        <v>56</v>
      </c>
      <c r="D25" s="35" t="s">
        <v>57</v>
      </c>
      <c r="E25" s="36"/>
      <c r="F25" s="44"/>
      <c r="G25" s="45"/>
      <c r="H25" s="39">
        <v>5</v>
      </c>
      <c r="I25" s="39">
        <v>125</v>
      </c>
      <c r="J25" s="39">
        <f>70+38+100+42+35</f>
        <v>285</v>
      </c>
      <c r="K25" s="39">
        <f t="shared" si="0"/>
        <v>8</v>
      </c>
      <c r="L25" s="67">
        <f t="shared" si="2"/>
        <v>12.6825</v>
      </c>
      <c r="M25" s="61"/>
      <c r="W25" s="39">
        <v>2</v>
      </c>
    </row>
    <row r="26" ht="21" customHeight="1" spans="1:23">
      <c r="A26" s="1"/>
      <c r="B26" s="13"/>
      <c r="C26" s="34" t="s">
        <v>58</v>
      </c>
      <c r="D26" s="35" t="s">
        <v>59</v>
      </c>
      <c r="E26" s="36"/>
      <c r="F26" s="44"/>
      <c r="G26" s="45"/>
      <c r="H26" s="39">
        <v>5</v>
      </c>
      <c r="I26" s="39">
        <v>125</v>
      </c>
      <c r="J26" s="39">
        <f>70+38+98+37+40</f>
        <v>283</v>
      </c>
      <c r="K26" s="39">
        <f t="shared" si="0"/>
        <v>4</v>
      </c>
      <c r="L26" s="67">
        <f t="shared" si="2"/>
        <v>6.29675</v>
      </c>
      <c r="M26" s="61"/>
      <c r="W26" s="39">
        <v>1</v>
      </c>
    </row>
    <row r="27" ht="21" customHeight="1" spans="1:23">
      <c r="A27" s="1"/>
      <c r="B27" s="13"/>
      <c r="C27" s="34" t="s">
        <v>60</v>
      </c>
      <c r="D27" s="35" t="s">
        <v>61</v>
      </c>
      <c r="E27" s="36"/>
      <c r="F27" s="46" t="s">
        <v>62</v>
      </c>
      <c r="G27" s="47"/>
      <c r="H27" s="39">
        <v>5</v>
      </c>
      <c r="I27" s="39">
        <v>125</v>
      </c>
      <c r="J27" s="39">
        <v>407</v>
      </c>
      <c r="K27" s="39">
        <f t="shared" si="0"/>
        <v>4</v>
      </c>
      <c r="L27" s="67">
        <f t="shared" ref="L27:L58" si="3">K27*J27*I27*H27*8.9/1000000</f>
        <v>9.05575</v>
      </c>
      <c r="M27" s="61"/>
      <c r="W27" s="39">
        <v>1</v>
      </c>
    </row>
    <row r="28" ht="21" customHeight="1" spans="1:23">
      <c r="A28" s="1"/>
      <c r="B28" s="13"/>
      <c r="C28" s="34" t="s">
        <v>63</v>
      </c>
      <c r="D28" s="35" t="s">
        <v>64</v>
      </c>
      <c r="E28" s="36"/>
      <c r="F28" s="48"/>
      <c r="G28" s="49"/>
      <c r="H28" s="39">
        <v>5</v>
      </c>
      <c r="I28" s="39">
        <v>125</v>
      </c>
      <c r="J28" s="39">
        <v>427</v>
      </c>
      <c r="K28" s="39">
        <f t="shared" si="0"/>
        <v>4</v>
      </c>
      <c r="L28" s="67">
        <f t="shared" si="3"/>
        <v>9.50075</v>
      </c>
      <c r="M28" s="61"/>
      <c r="W28" s="39">
        <v>1</v>
      </c>
    </row>
    <row r="29" ht="21" customHeight="1" spans="1:23">
      <c r="A29" s="1"/>
      <c r="B29" s="13"/>
      <c r="C29" s="34" t="s">
        <v>65</v>
      </c>
      <c r="D29" s="35" t="s">
        <v>66</v>
      </c>
      <c r="E29" s="36"/>
      <c r="F29" s="48"/>
      <c r="G29" s="49"/>
      <c r="H29" s="39">
        <v>5</v>
      </c>
      <c r="I29" s="39">
        <v>125</v>
      </c>
      <c r="J29" s="39">
        <v>447</v>
      </c>
      <c r="K29" s="39">
        <f t="shared" si="0"/>
        <v>4</v>
      </c>
      <c r="L29" s="67">
        <f t="shared" si="3"/>
        <v>9.94575</v>
      </c>
      <c r="M29" s="61"/>
      <c r="W29" s="39">
        <v>1</v>
      </c>
    </row>
    <row r="30" ht="21" customHeight="1" spans="1:23">
      <c r="A30" s="1"/>
      <c r="B30" s="13"/>
      <c r="C30" s="34" t="s">
        <v>67</v>
      </c>
      <c r="D30" s="35" t="s">
        <v>68</v>
      </c>
      <c r="E30" s="36"/>
      <c r="F30" s="48"/>
      <c r="G30" s="49"/>
      <c r="H30" s="39">
        <v>5</v>
      </c>
      <c r="I30" s="39">
        <v>125</v>
      </c>
      <c r="J30" s="39">
        <v>467</v>
      </c>
      <c r="K30" s="39">
        <f t="shared" si="0"/>
        <v>4</v>
      </c>
      <c r="L30" s="67">
        <f t="shared" si="3"/>
        <v>10.39075</v>
      </c>
      <c r="M30" s="61"/>
      <c r="W30" s="39">
        <v>1</v>
      </c>
    </row>
    <row r="31" ht="21" customHeight="1" spans="1:23">
      <c r="A31" s="1"/>
      <c r="B31" s="13"/>
      <c r="C31" s="34" t="s">
        <v>69</v>
      </c>
      <c r="D31" s="35" t="s">
        <v>70</v>
      </c>
      <c r="E31" s="36"/>
      <c r="F31" s="48"/>
      <c r="G31" s="49"/>
      <c r="H31" s="39">
        <v>5</v>
      </c>
      <c r="I31" s="39">
        <v>125</v>
      </c>
      <c r="J31" s="39">
        <v>487</v>
      </c>
      <c r="K31" s="39">
        <f t="shared" si="0"/>
        <v>4</v>
      </c>
      <c r="L31" s="67">
        <f t="shared" si="3"/>
        <v>10.83575</v>
      </c>
      <c r="M31" s="61"/>
      <c r="W31" s="39">
        <v>1</v>
      </c>
    </row>
    <row r="32" ht="21" customHeight="1" spans="1:23">
      <c r="A32" s="1"/>
      <c r="B32" s="13"/>
      <c r="C32" s="34" t="s">
        <v>71</v>
      </c>
      <c r="D32" s="35" t="s">
        <v>72</v>
      </c>
      <c r="E32" s="36"/>
      <c r="F32" s="50"/>
      <c r="G32" s="51"/>
      <c r="H32" s="39">
        <v>5</v>
      </c>
      <c r="I32" s="39">
        <v>125</v>
      </c>
      <c r="J32" s="39">
        <v>507</v>
      </c>
      <c r="K32" s="39">
        <f t="shared" si="0"/>
        <v>4</v>
      </c>
      <c r="L32" s="67">
        <f t="shared" si="3"/>
        <v>11.28075</v>
      </c>
      <c r="M32" s="61"/>
      <c r="W32" s="39">
        <v>1</v>
      </c>
    </row>
    <row r="33" ht="21" customHeight="1" spans="1:25">
      <c r="A33" s="1"/>
      <c r="B33" s="13"/>
      <c r="C33" s="34" t="s">
        <v>73</v>
      </c>
      <c r="D33" s="35">
        <v>51131396</v>
      </c>
      <c r="E33" s="36"/>
      <c r="F33" s="52" t="s">
        <v>74</v>
      </c>
      <c r="G33" s="45"/>
      <c r="H33" s="39">
        <v>5</v>
      </c>
      <c r="I33" s="39">
        <v>125</v>
      </c>
      <c r="J33" s="39">
        <f>Y33-50</f>
        <v>257</v>
      </c>
      <c r="K33" s="39">
        <f t="shared" si="0"/>
        <v>24</v>
      </c>
      <c r="L33" s="67">
        <f t="shared" si="3"/>
        <v>34.3095</v>
      </c>
      <c r="M33" s="61"/>
      <c r="W33" s="39">
        <v>6</v>
      </c>
      <c r="Y33" s="39">
        <v>307</v>
      </c>
    </row>
    <row r="34" ht="21" customHeight="1" spans="1:23">
      <c r="A34" s="1"/>
      <c r="B34" s="13"/>
      <c r="C34" s="34" t="s">
        <v>75</v>
      </c>
      <c r="D34" s="35" t="s">
        <v>76</v>
      </c>
      <c r="E34" s="36"/>
      <c r="F34" s="52" t="s">
        <v>77</v>
      </c>
      <c r="G34" s="45"/>
      <c r="H34" s="39">
        <v>5</v>
      </c>
      <c r="I34" s="39">
        <v>125</v>
      </c>
      <c r="J34" s="39">
        <f>159+29+303+69+63</f>
        <v>623</v>
      </c>
      <c r="K34" s="39">
        <f t="shared" si="0"/>
        <v>4</v>
      </c>
      <c r="L34" s="67">
        <f t="shared" si="3"/>
        <v>13.86175</v>
      </c>
      <c r="M34" s="61"/>
      <c r="W34" s="39">
        <v>1</v>
      </c>
    </row>
    <row r="35" ht="21" customHeight="1" spans="1:23">
      <c r="A35" s="1"/>
      <c r="B35" s="13"/>
      <c r="C35" s="34" t="s">
        <v>78</v>
      </c>
      <c r="D35" s="35" t="s">
        <v>79</v>
      </c>
      <c r="E35" s="36"/>
      <c r="F35" s="52" t="s">
        <v>77</v>
      </c>
      <c r="G35" s="45"/>
      <c r="H35" s="39">
        <v>5</v>
      </c>
      <c r="I35" s="39">
        <v>125</v>
      </c>
      <c r="J35" s="39">
        <f>132+61+312+37+81</f>
        <v>623</v>
      </c>
      <c r="K35" s="39">
        <f t="shared" si="0"/>
        <v>4</v>
      </c>
      <c r="L35" s="67">
        <f t="shared" si="3"/>
        <v>13.86175</v>
      </c>
      <c r="M35" s="61"/>
      <c r="W35" s="39">
        <v>1</v>
      </c>
    </row>
    <row r="36" ht="21" customHeight="1" spans="1:23">
      <c r="A36" s="1"/>
      <c r="B36" s="13"/>
      <c r="C36" s="34" t="s">
        <v>80</v>
      </c>
      <c r="D36" s="35" t="s">
        <v>81</v>
      </c>
      <c r="E36" s="36"/>
      <c r="F36" s="52" t="s">
        <v>77</v>
      </c>
      <c r="G36" s="45"/>
      <c r="H36" s="39">
        <v>5</v>
      </c>
      <c r="I36" s="39">
        <v>125</v>
      </c>
      <c r="J36" s="39">
        <f>145+43+300+69+65</f>
        <v>622</v>
      </c>
      <c r="K36" s="39">
        <f t="shared" si="0"/>
        <v>4</v>
      </c>
      <c r="L36" s="67">
        <f t="shared" si="3"/>
        <v>13.8395</v>
      </c>
      <c r="M36" s="61"/>
      <c r="W36" s="39">
        <v>1</v>
      </c>
    </row>
    <row r="37" ht="21" customHeight="1" spans="1:23">
      <c r="A37" s="1"/>
      <c r="B37" s="13"/>
      <c r="C37" s="34" t="s">
        <v>82</v>
      </c>
      <c r="D37" s="35" t="s">
        <v>83</v>
      </c>
      <c r="E37" s="36"/>
      <c r="F37" s="52" t="s">
        <v>77</v>
      </c>
      <c r="G37" s="45"/>
      <c r="H37" s="39">
        <v>5</v>
      </c>
      <c r="I37" s="39">
        <v>125</v>
      </c>
      <c r="J37" s="39">
        <f>142+51+314+37+77</f>
        <v>621</v>
      </c>
      <c r="K37" s="39">
        <f t="shared" si="0"/>
        <v>4</v>
      </c>
      <c r="L37" s="67">
        <f t="shared" si="3"/>
        <v>13.81725</v>
      </c>
      <c r="M37" s="61"/>
      <c r="W37" s="39">
        <v>1</v>
      </c>
    </row>
    <row r="38" ht="21" customHeight="1" spans="1:23">
      <c r="A38" s="1"/>
      <c r="B38" s="13"/>
      <c r="C38" s="34" t="s">
        <v>84</v>
      </c>
      <c r="D38" s="35" t="s">
        <v>85</v>
      </c>
      <c r="E38" s="36"/>
      <c r="F38" s="52" t="s">
        <v>77</v>
      </c>
      <c r="G38" s="45"/>
      <c r="H38" s="39">
        <v>5</v>
      </c>
      <c r="I38" s="39">
        <v>125</v>
      </c>
      <c r="J38" s="39">
        <f>131+58+296+69+69</f>
        <v>623</v>
      </c>
      <c r="K38" s="39">
        <f t="shared" si="0"/>
        <v>4</v>
      </c>
      <c r="L38" s="67">
        <f t="shared" si="3"/>
        <v>13.86175</v>
      </c>
      <c r="M38" s="61"/>
      <c r="W38" s="39">
        <v>1</v>
      </c>
    </row>
    <row r="39" ht="21" customHeight="1" spans="1:23">
      <c r="A39" s="1"/>
      <c r="B39" s="13"/>
      <c r="C39" s="34" t="s">
        <v>86</v>
      </c>
      <c r="D39" s="35" t="s">
        <v>87</v>
      </c>
      <c r="E39" s="36"/>
      <c r="F39" s="52" t="s">
        <v>77</v>
      </c>
      <c r="G39" s="45"/>
      <c r="H39" s="39">
        <v>5</v>
      </c>
      <c r="I39" s="39">
        <v>125</v>
      </c>
      <c r="J39" s="39">
        <f>155+41+315+37+73</f>
        <v>621</v>
      </c>
      <c r="K39" s="39">
        <f t="shared" si="0"/>
        <v>4</v>
      </c>
      <c r="L39" s="67">
        <f t="shared" si="3"/>
        <v>13.81725</v>
      </c>
      <c r="M39" s="61"/>
      <c r="W39" s="39">
        <v>1</v>
      </c>
    </row>
    <row r="40" ht="21" customHeight="1" spans="1:23">
      <c r="A40" s="1"/>
      <c r="B40" s="13"/>
      <c r="C40" s="34" t="s">
        <v>88</v>
      </c>
      <c r="D40" s="35" t="s">
        <v>89</v>
      </c>
      <c r="E40" s="36"/>
      <c r="F40" s="52" t="s">
        <v>90</v>
      </c>
      <c r="G40" s="45"/>
      <c r="H40" s="39">
        <v>5</v>
      </c>
      <c r="I40" s="39">
        <v>125</v>
      </c>
      <c r="J40" s="39">
        <v>455</v>
      </c>
      <c r="K40" s="39">
        <f t="shared" si="0"/>
        <v>4</v>
      </c>
      <c r="L40" s="67">
        <f t="shared" si="3"/>
        <v>10.12375</v>
      </c>
      <c r="M40" s="61"/>
      <c r="W40" s="39">
        <v>1</v>
      </c>
    </row>
    <row r="41" ht="21" customHeight="1" spans="1:23">
      <c r="A41" s="1"/>
      <c r="B41" s="13"/>
      <c r="C41" s="34" t="s">
        <v>91</v>
      </c>
      <c r="D41" s="35" t="s">
        <v>92</v>
      </c>
      <c r="E41" s="36"/>
      <c r="F41" s="52" t="s">
        <v>90</v>
      </c>
      <c r="G41" s="45"/>
      <c r="H41" s="39">
        <v>5</v>
      </c>
      <c r="I41" s="39">
        <v>125</v>
      </c>
      <c r="J41" s="39">
        <v>455</v>
      </c>
      <c r="K41" s="39">
        <f t="shared" si="0"/>
        <v>4</v>
      </c>
      <c r="L41" s="67">
        <f t="shared" si="3"/>
        <v>10.12375</v>
      </c>
      <c r="M41" s="61"/>
      <c r="W41" s="39">
        <v>1</v>
      </c>
    </row>
    <row r="42" ht="21" customHeight="1" spans="1:23">
      <c r="A42" s="1"/>
      <c r="B42" s="13"/>
      <c r="C42" s="34" t="s">
        <v>93</v>
      </c>
      <c r="D42" s="35" t="s">
        <v>94</v>
      </c>
      <c r="E42" s="36"/>
      <c r="F42" s="52" t="s">
        <v>90</v>
      </c>
      <c r="G42" s="45"/>
      <c r="H42" s="39">
        <v>5</v>
      </c>
      <c r="I42" s="39">
        <v>125</v>
      </c>
      <c r="J42" s="39">
        <v>456</v>
      </c>
      <c r="K42" s="39">
        <f t="shared" si="0"/>
        <v>4</v>
      </c>
      <c r="L42" s="67">
        <f t="shared" si="3"/>
        <v>10.146</v>
      </c>
      <c r="M42" s="61"/>
      <c r="W42" s="39">
        <v>1</v>
      </c>
    </row>
    <row r="43" ht="21" customHeight="1" spans="1:23">
      <c r="A43" s="1"/>
      <c r="B43" s="13"/>
      <c r="C43" s="34" t="s">
        <v>95</v>
      </c>
      <c r="D43" s="35" t="s">
        <v>96</v>
      </c>
      <c r="E43" s="36"/>
      <c r="F43" s="52" t="s">
        <v>90</v>
      </c>
      <c r="G43" s="45"/>
      <c r="H43" s="39">
        <v>5</v>
      </c>
      <c r="I43" s="39">
        <v>125</v>
      </c>
      <c r="J43" s="39">
        <v>454</v>
      </c>
      <c r="K43" s="39">
        <f t="shared" si="0"/>
        <v>4</v>
      </c>
      <c r="L43" s="67">
        <f t="shared" si="3"/>
        <v>10.1015</v>
      </c>
      <c r="M43" s="61"/>
      <c r="W43" s="39">
        <v>1</v>
      </c>
    </row>
    <row r="44" ht="21" customHeight="1" spans="1:23">
      <c r="A44" s="1"/>
      <c r="B44" s="13"/>
      <c r="C44" s="34" t="s">
        <v>97</v>
      </c>
      <c r="D44" s="35" t="s">
        <v>98</v>
      </c>
      <c r="E44" s="36"/>
      <c r="F44" s="52" t="s">
        <v>90</v>
      </c>
      <c r="G44" s="45"/>
      <c r="H44" s="39">
        <v>5</v>
      </c>
      <c r="I44" s="39">
        <v>125</v>
      </c>
      <c r="J44" s="39">
        <v>458</v>
      </c>
      <c r="K44" s="39">
        <f t="shared" ref="K44:K75" si="4">W44*4</f>
        <v>4</v>
      </c>
      <c r="L44" s="67">
        <f t="shared" si="3"/>
        <v>10.1905</v>
      </c>
      <c r="M44" s="61"/>
      <c r="W44" s="39">
        <v>1</v>
      </c>
    </row>
    <row r="45" ht="21" customHeight="1" spans="1:23">
      <c r="A45" s="1"/>
      <c r="B45" s="13"/>
      <c r="C45" s="34" t="s">
        <v>99</v>
      </c>
      <c r="D45" s="35" t="s">
        <v>100</v>
      </c>
      <c r="E45" s="36"/>
      <c r="F45" s="52" t="s">
        <v>90</v>
      </c>
      <c r="G45" s="45"/>
      <c r="H45" s="39">
        <v>5</v>
      </c>
      <c r="I45" s="39">
        <v>125</v>
      </c>
      <c r="J45" s="39">
        <v>454</v>
      </c>
      <c r="K45" s="39">
        <f t="shared" si="4"/>
        <v>4</v>
      </c>
      <c r="L45" s="67">
        <f t="shared" si="3"/>
        <v>10.1015</v>
      </c>
      <c r="M45" s="61"/>
      <c r="W45" s="39">
        <v>1</v>
      </c>
    </row>
    <row r="46" ht="21" customHeight="1" spans="1:23">
      <c r="A46" s="1"/>
      <c r="B46" s="13"/>
      <c r="C46" s="34" t="s">
        <v>101</v>
      </c>
      <c r="D46" s="35" t="s">
        <v>102</v>
      </c>
      <c r="E46" s="36"/>
      <c r="F46" s="44"/>
      <c r="G46" s="45"/>
      <c r="H46" s="39">
        <v>5</v>
      </c>
      <c r="I46" s="39">
        <v>125</v>
      </c>
      <c r="J46" s="39">
        <f>70+39+105+35+35</f>
        <v>284</v>
      </c>
      <c r="K46" s="39">
        <f t="shared" si="4"/>
        <v>8</v>
      </c>
      <c r="L46" s="67">
        <f t="shared" si="3"/>
        <v>12.638</v>
      </c>
      <c r="M46" s="61"/>
      <c r="W46" s="39">
        <v>2</v>
      </c>
    </row>
    <row r="47" ht="21" customHeight="1" spans="1:23">
      <c r="A47" s="1"/>
      <c r="B47" s="13"/>
      <c r="C47" s="34" t="s">
        <v>103</v>
      </c>
      <c r="D47" s="35" t="s">
        <v>104</v>
      </c>
      <c r="E47" s="36"/>
      <c r="F47" s="44"/>
      <c r="G47" s="45"/>
      <c r="H47" s="39">
        <v>5</v>
      </c>
      <c r="I47" s="39">
        <v>125</v>
      </c>
      <c r="J47" s="39">
        <f>70+39+105+35+35</f>
        <v>284</v>
      </c>
      <c r="K47" s="39">
        <f t="shared" si="4"/>
        <v>4</v>
      </c>
      <c r="L47" s="67">
        <f t="shared" si="3"/>
        <v>6.319</v>
      </c>
      <c r="M47" s="61"/>
      <c r="W47" s="39">
        <v>1</v>
      </c>
    </row>
    <row r="48" ht="21" customHeight="1" spans="1:23">
      <c r="A48" s="1"/>
      <c r="B48" s="13"/>
      <c r="C48" s="34" t="s">
        <v>105</v>
      </c>
      <c r="D48" s="35" t="s">
        <v>106</v>
      </c>
      <c r="E48" s="36"/>
      <c r="F48" s="44"/>
      <c r="G48" s="45"/>
      <c r="H48" s="39">
        <v>5</v>
      </c>
      <c r="I48" s="39">
        <v>125</v>
      </c>
      <c r="J48" s="39">
        <f>70+29+108+40+35</f>
        <v>282</v>
      </c>
      <c r="K48" s="39">
        <f t="shared" si="4"/>
        <v>8</v>
      </c>
      <c r="L48" s="67">
        <f t="shared" si="3"/>
        <v>12.549</v>
      </c>
      <c r="M48" s="61"/>
      <c r="W48" s="39">
        <v>2</v>
      </c>
    </row>
    <row r="49" ht="21" customHeight="1" spans="1:23">
      <c r="A49" s="1"/>
      <c r="B49" s="13"/>
      <c r="C49" s="34" t="s">
        <v>107</v>
      </c>
      <c r="D49" s="35" t="s">
        <v>108</v>
      </c>
      <c r="E49" s="36"/>
      <c r="F49" s="44"/>
      <c r="G49" s="45"/>
      <c r="H49" s="39">
        <v>5</v>
      </c>
      <c r="I49" s="39">
        <v>125</v>
      </c>
      <c r="J49" s="39">
        <f>40+35+108+29+70</f>
        <v>282</v>
      </c>
      <c r="K49" s="39">
        <f t="shared" si="4"/>
        <v>4</v>
      </c>
      <c r="L49" s="67">
        <f t="shared" si="3"/>
        <v>6.2745</v>
      </c>
      <c r="M49" s="61"/>
      <c r="W49" s="39">
        <v>1</v>
      </c>
    </row>
    <row r="50" ht="21" customHeight="1" spans="1:23">
      <c r="A50" s="1"/>
      <c r="B50" s="13"/>
      <c r="C50" s="34" t="s">
        <v>109</v>
      </c>
      <c r="D50" s="35" t="s">
        <v>110</v>
      </c>
      <c r="E50" s="36"/>
      <c r="F50" s="46" t="s">
        <v>111</v>
      </c>
      <c r="G50" s="47"/>
      <c r="H50" s="39">
        <v>5</v>
      </c>
      <c r="I50" s="39">
        <v>125</v>
      </c>
      <c r="J50" s="39">
        <v>195</v>
      </c>
      <c r="K50" s="39">
        <f t="shared" si="4"/>
        <v>4</v>
      </c>
      <c r="L50" s="67">
        <f t="shared" si="3"/>
        <v>4.33875</v>
      </c>
      <c r="M50" s="61"/>
      <c r="W50" s="39">
        <v>1</v>
      </c>
    </row>
    <row r="51" ht="21" customHeight="1" spans="1:23">
      <c r="A51" s="1"/>
      <c r="B51" s="13"/>
      <c r="C51" s="34" t="s">
        <v>112</v>
      </c>
      <c r="D51" s="35" t="s">
        <v>113</v>
      </c>
      <c r="E51" s="36"/>
      <c r="F51" s="48"/>
      <c r="G51" s="49"/>
      <c r="H51" s="39">
        <v>5</v>
      </c>
      <c r="I51" s="39">
        <v>125</v>
      </c>
      <c r="J51" s="39">
        <v>210</v>
      </c>
      <c r="K51" s="39">
        <f t="shared" si="4"/>
        <v>4</v>
      </c>
      <c r="L51" s="67">
        <f t="shared" si="3"/>
        <v>4.6725</v>
      </c>
      <c r="M51" s="61"/>
      <c r="W51" s="39">
        <v>1</v>
      </c>
    </row>
    <row r="52" ht="21" customHeight="1" spans="1:23">
      <c r="A52" s="1"/>
      <c r="B52" s="13"/>
      <c r="C52" s="34" t="s">
        <v>114</v>
      </c>
      <c r="D52" s="35" t="s">
        <v>115</v>
      </c>
      <c r="E52" s="36"/>
      <c r="F52" s="48"/>
      <c r="G52" s="49"/>
      <c r="H52" s="39">
        <v>5</v>
      </c>
      <c r="I52" s="39">
        <v>125</v>
      </c>
      <c r="J52" s="39">
        <v>225</v>
      </c>
      <c r="K52" s="39">
        <f t="shared" si="4"/>
        <v>4</v>
      </c>
      <c r="L52" s="67">
        <f t="shared" si="3"/>
        <v>5.00625</v>
      </c>
      <c r="M52" s="61"/>
      <c r="W52" s="39">
        <v>1</v>
      </c>
    </row>
    <row r="53" ht="21" customHeight="1" spans="1:23">
      <c r="A53" s="1"/>
      <c r="B53" s="13"/>
      <c r="C53" s="34" t="s">
        <v>116</v>
      </c>
      <c r="D53" s="35" t="s">
        <v>117</v>
      </c>
      <c r="E53" s="36"/>
      <c r="F53" s="48"/>
      <c r="G53" s="49"/>
      <c r="H53" s="39">
        <v>5</v>
      </c>
      <c r="I53" s="39">
        <v>125</v>
      </c>
      <c r="J53" s="39">
        <v>225</v>
      </c>
      <c r="K53" s="39">
        <f t="shared" si="4"/>
        <v>4</v>
      </c>
      <c r="L53" s="67">
        <f t="shared" si="3"/>
        <v>5.00625</v>
      </c>
      <c r="M53" s="61"/>
      <c r="W53" s="39">
        <v>1</v>
      </c>
    </row>
    <row r="54" ht="21" customHeight="1" spans="1:23">
      <c r="A54" s="1"/>
      <c r="B54" s="13"/>
      <c r="C54" s="34" t="s">
        <v>118</v>
      </c>
      <c r="D54" s="35" t="s">
        <v>119</v>
      </c>
      <c r="E54" s="36"/>
      <c r="F54" s="48"/>
      <c r="G54" s="49"/>
      <c r="H54" s="39">
        <v>5</v>
      </c>
      <c r="I54" s="39">
        <v>125</v>
      </c>
      <c r="J54" s="39">
        <v>210</v>
      </c>
      <c r="K54" s="39">
        <f t="shared" si="4"/>
        <v>4</v>
      </c>
      <c r="L54" s="67">
        <f t="shared" si="3"/>
        <v>4.6725</v>
      </c>
      <c r="M54" s="61"/>
      <c r="W54" s="39">
        <v>1</v>
      </c>
    </row>
    <row r="55" ht="21" customHeight="1" spans="1:23">
      <c r="A55" s="1"/>
      <c r="B55" s="13"/>
      <c r="C55" s="34" t="s">
        <v>120</v>
      </c>
      <c r="D55" s="35" t="s">
        <v>121</v>
      </c>
      <c r="E55" s="36"/>
      <c r="F55" s="50"/>
      <c r="G55" s="51"/>
      <c r="H55" s="39">
        <v>5</v>
      </c>
      <c r="I55" s="39">
        <v>125</v>
      </c>
      <c r="J55" s="39">
        <v>195</v>
      </c>
      <c r="K55" s="39">
        <f t="shared" si="4"/>
        <v>4</v>
      </c>
      <c r="L55" s="67">
        <f t="shared" ref="L55:L61" si="5">H55*I55*J55*K55*8.9/1000000</f>
        <v>4.33875</v>
      </c>
      <c r="M55" s="61"/>
      <c r="W55" s="39">
        <v>1</v>
      </c>
    </row>
    <row r="56" ht="21" customHeight="1" spans="1:25">
      <c r="A56" s="1"/>
      <c r="B56" s="13"/>
      <c r="C56" s="34" t="s">
        <v>122</v>
      </c>
      <c r="D56" s="35" t="s">
        <v>123</v>
      </c>
      <c r="E56" s="36"/>
      <c r="F56" s="52" t="s">
        <v>124</v>
      </c>
      <c r="G56" s="45"/>
      <c r="H56" s="39">
        <v>5</v>
      </c>
      <c r="I56" s="39">
        <v>125</v>
      </c>
      <c r="J56" s="39">
        <f t="shared" ref="J56:J61" si="6">Y56-50</f>
        <v>327</v>
      </c>
      <c r="K56" s="39">
        <f t="shared" si="4"/>
        <v>4</v>
      </c>
      <c r="L56" s="67">
        <f t="shared" si="5"/>
        <v>7.27575</v>
      </c>
      <c r="M56" s="61"/>
      <c r="W56" s="39">
        <v>1</v>
      </c>
      <c r="Y56" s="39">
        <v>377</v>
      </c>
    </row>
    <row r="57" ht="21" customHeight="1" spans="1:25">
      <c r="A57" s="1"/>
      <c r="B57" s="13"/>
      <c r="C57" s="34" t="s">
        <v>125</v>
      </c>
      <c r="D57" s="35" t="s">
        <v>126</v>
      </c>
      <c r="E57" s="36"/>
      <c r="F57" s="52" t="s">
        <v>124</v>
      </c>
      <c r="G57" s="45"/>
      <c r="H57" s="39">
        <v>5</v>
      </c>
      <c r="I57" s="39">
        <v>125</v>
      </c>
      <c r="J57" s="39">
        <f t="shared" si="6"/>
        <v>322</v>
      </c>
      <c r="K57" s="39">
        <f t="shared" si="4"/>
        <v>4</v>
      </c>
      <c r="L57" s="67">
        <f t="shared" si="5"/>
        <v>7.1645</v>
      </c>
      <c r="M57" s="61"/>
      <c r="W57" s="39">
        <v>1</v>
      </c>
      <c r="Y57" s="39">
        <v>372</v>
      </c>
    </row>
    <row r="58" ht="21" customHeight="1" spans="1:25">
      <c r="A58" s="1"/>
      <c r="B58" s="13"/>
      <c r="C58" s="34" t="s">
        <v>127</v>
      </c>
      <c r="D58" s="35" t="s">
        <v>128</v>
      </c>
      <c r="E58" s="36"/>
      <c r="F58" s="52" t="s">
        <v>124</v>
      </c>
      <c r="G58" s="45"/>
      <c r="H58" s="39">
        <v>5</v>
      </c>
      <c r="I58" s="39">
        <v>125</v>
      </c>
      <c r="J58" s="39">
        <f t="shared" si="6"/>
        <v>317</v>
      </c>
      <c r="K58" s="39">
        <f t="shared" si="4"/>
        <v>4</v>
      </c>
      <c r="L58" s="67">
        <f t="shared" si="5"/>
        <v>7.05325</v>
      </c>
      <c r="M58" s="61"/>
      <c r="W58" s="39">
        <v>1</v>
      </c>
      <c r="Y58" s="39">
        <v>367</v>
      </c>
    </row>
    <row r="59" ht="21" customHeight="1" spans="1:25">
      <c r="A59" s="1"/>
      <c r="B59" s="13"/>
      <c r="C59" s="34" t="s">
        <v>129</v>
      </c>
      <c r="D59" s="35" t="s">
        <v>130</v>
      </c>
      <c r="E59" s="36"/>
      <c r="F59" s="52" t="s">
        <v>124</v>
      </c>
      <c r="G59" s="45"/>
      <c r="H59" s="39">
        <v>5</v>
      </c>
      <c r="I59" s="39">
        <v>125</v>
      </c>
      <c r="J59" s="39">
        <f>Y59-50</f>
        <v>312</v>
      </c>
      <c r="K59" s="39">
        <f t="shared" si="4"/>
        <v>4</v>
      </c>
      <c r="L59" s="67">
        <f t="shared" si="5"/>
        <v>6.942</v>
      </c>
      <c r="M59" s="61"/>
      <c r="W59" s="39">
        <v>1</v>
      </c>
      <c r="Y59" s="39">
        <v>362</v>
      </c>
    </row>
    <row r="60" ht="21" customHeight="1" spans="1:25">
      <c r="A60" s="1"/>
      <c r="B60" s="13"/>
      <c r="C60" s="34" t="s">
        <v>131</v>
      </c>
      <c r="D60" s="35" t="s">
        <v>132</v>
      </c>
      <c r="E60" s="36"/>
      <c r="F60" s="52" t="s">
        <v>124</v>
      </c>
      <c r="G60" s="45"/>
      <c r="H60" s="39">
        <v>5</v>
      </c>
      <c r="I60" s="39">
        <v>125</v>
      </c>
      <c r="J60" s="39">
        <f>Y60-Y60</f>
        <v>0</v>
      </c>
      <c r="K60" s="39">
        <f t="shared" si="4"/>
        <v>4</v>
      </c>
      <c r="L60" s="67">
        <f t="shared" si="5"/>
        <v>0</v>
      </c>
      <c r="M60" s="61"/>
      <c r="W60" s="39">
        <v>1</v>
      </c>
      <c r="Y60" s="39">
        <v>357</v>
      </c>
    </row>
    <row r="61" ht="21" customHeight="1" spans="1:25">
      <c r="A61" s="1"/>
      <c r="B61" s="13"/>
      <c r="C61" s="34" t="s">
        <v>133</v>
      </c>
      <c r="D61" s="35" t="s">
        <v>134</v>
      </c>
      <c r="E61" s="36"/>
      <c r="F61" s="52" t="s">
        <v>124</v>
      </c>
      <c r="G61" s="45"/>
      <c r="H61" s="39">
        <v>5</v>
      </c>
      <c r="I61" s="39">
        <v>125</v>
      </c>
      <c r="J61" s="39">
        <f t="shared" si="6"/>
        <v>302</v>
      </c>
      <c r="K61" s="39">
        <f t="shared" si="4"/>
        <v>4</v>
      </c>
      <c r="L61" s="67">
        <f t="shared" si="5"/>
        <v>6.7195</v>
      </c>
      <c r="M61" s="61"/>
      <c r="W61" s="39">
        <v>1</v>
      </c>
      <c r="Y61" s="39">
        <v>352</v>
      </c>
    </row>
    <row r="62" ht="21" customHeight="1" spans="1:23">
      <c r="A62" s="1"/>
      <c r="B62" s="13"/>
      <c r="C62" s="34" t="s">
        <v>135</v>
      </c>
      <c r="D62" s="35" t="s">
        <v>136</v>
      </c>
      <c r="E62" s="36"/>
      <c r="F62" s="52" t="s">
        <v>137</v>
      </c>
      <c r="G62" s="45"/>
      <c r="H62" s="39">
        <v>5</v>
      </c>
      <c r="I62" s="39">
        <v>125</v>
      </c>
      <c r="J62" s="39">
        <f>128+61+314+103+47</f>
        <v>653</v>
      </c>
      <c r="K62" s="39">
        <f t="shared" si="4"/>
        <v>4</v>
      </c>
      <c r="L62" s="67">
        <f t="shared" ref="L62:L77" si="7">K62*J62*I62*H62*8.9/1000000</f>
        <v>14.52925</v>
      </c>
      <c r="M62" s="61"/>
      <c r="W62" s="39">
        <v>1</v>
      </c>
    </row>
    <row r="63" ht="21" customHeight="1" spans="1:23">
      <c r="A63" s="1"/>
      <c r="B63" s="13"/>
      <c r="C63" s="34" t="s">
        <v>138</v>
      </c>
      <c r="D63" s="35" t="s">
        <v>139</v>
      </c>
      <c r="E63" s="36"/>
      <c r="F63" s="52" t="s">
        <v>137</v>
      </c>
      <c r="G63" s="45"/>
      <c r="H63" s="39">
        <v>5</v>
      </c>
      <c r="I63" s="39">
        <v>125</v>
      </c>
      <c r="J63" s="39">
        <f>159+29+302+82+67</f>
        <v>639</v>
      </c>
      <c r="K63" s="39">
        <f t="shared" si="4"/>
        <v>4</v>
      </c>
      <c r="L63" s="67">
        <f t="shared" si="7"/>
        <v>14.21775</v>
      </c>
      <c r="M63" s="61"/>
      <c r="W63" s="39">
        <v>1</v>
      </c>
    </row>
    <row r="64" ht="21" customHeight="1" spans="1:23">
      <c r="A64" s="1"/>
      <c r="B64" s="13"/>
      <c r="C64" s="34" t="s">
        <v>140</v>
      </c>
      <c r="D64" s="35" t="s">
        <v>141</v>
      </c>
      <c r="E64" s="36"/>
      <c r="F64" s="52" t="s">
        <v>137</v>
      </c>
      <c r="G64" s="45"/>
      <c r="H64" s="39">
        <v>5</v>
      </c>
      <c r="I64" s="39">
        <v>125</v>
      </c>
      <c r="J64" s="39">
        <f>138+51+308+103+51</f>
        <v>651</v>
      </c>
      <c r="K64" s="39">
        <f t="shared" si="4"/>
        <v>4</v>
      </c>
      <c r="L64" s="67">
        <f t="shared" si="7"/>
        <v>14.48475</v>
      </c>
      <c r="M64" s="61"/>
      <c r="W64" s="39">
        <v>1</v>
      </c>
    </row>
    <row r="65" ht="21" customHeight="1" spans="2:23">
      <c r="B65" s="1"/>
      <c r="C65" s="34" t="s">
        <v>142</v>
      </c>
      <c r="D65" s="35" t="s">
        <v>143</v>
      </c>
      <c r="E65" s="36"/>
      <c r="F65" s="52" t="s">
        <v>137</v>
      </c>
      <c r="G65" s="45"/>
      <c r="H65" s="39">
        <v>5</v>
      </c>
      <c r="I65" s="39">
        <v>125</v>
      </c>
      <c r="J65" s="39">
        <f>144+43+309+82+65</f>
        <v>643</v>
      </c>
      <c r="K65" s="39">
        <f t="shared" si="4"/>
        <v>4</v>
      </c>
      <c r="L65" s="67">
        <f t="shared" si="7"/>
        <v>14.30675</v>
      </c>
      <c r="M65" s="61"/>
      <c r="W65" s="39">
        <v>1</v>
      </c>
    </row>
    <row r="66" ht="21" customHeight="1" spans="1:23">
      <c r="A66" s="1"/>
      <c r="B66" s="13"/>
      <c r="C66" s="34" t="s">
        <v>144</v>
      </c>
      <c r="D66" s="35" t="s">
        <v>145</v>
      </c>
      <c r="E66" s="36"/>
      <c r="F66" s="52" t="s">
        <v>137</v>
      </c>
      <c r="G66" s="45"/>
      <c r="H66" s="39">
        <v>5</v>
      </c>
      <c r="I66" s="39">
        <v>125</v>
      </c>
      <c r="J66" s="39">
        <f>149+41+301+103+56</f>
        <v>650</v>
      </c>
      <c r="K66" s="39">
        <f t="shared" si="4"/>
        <v>4</v>
      </c>
      <c r="L66" s="67">
        <f t="shared" si="7"/>
        <v>14.4625</v>
      </c>
      <c r="M66" s="61"/>
      <c r="W66" s="39">
        <v>1</v>
      </c>
    </row>
    <row r="67" ht="21" customHeight="1" spans="1:23">
      <c r="A67" s="1"/>
      <c r="B67" s="13"/>
      <c r="C67" s="34" t="s">
        <v>146</v>
      </c>
      <c r="D67" s="35" t="s">
        <v>147</v>
      </c>
      <c r="E67" s="36"/>
      <c r="F67" s="52" t="s">
        <v>137</v>
      </c>
      <c r="G67" s="45"/>
      <c r="H67" s="39">
        <v>5</v>
      </c>
      <c r="I67" s="39">
        <v>125</v>
      </c>
      <c r="J67" s="39">
        <f>128+58+313+82+61</f>
        <v>642</v>
      </c>
      <c r="K67" s="39">
        <f t="shared" si="4"/>
        <v>4</v>
      </c>
      <c r="L67" s="67">
        <f t="shared" si="7"/>
        <v>14.2845</v>
      </c>
      <c r="M67" s="61"/>
      <c r="W67" s="39">
        <v>1</v>
      </c>
    </row>
    <row r="68" ht="21" customHeight="1" spans="1:23">
      <c r="A68" s="1"/>
      <c r="B68" s="13"/>
      <c r="C68" s="34" t="s">
        <v>148</v>
      </c>
      <c r="D68" s="35" t="s">
        <v>89</v>
      </c>
      <c r="E68" s="36"/>
      <c r="F68" s="52" t="s">
        <v>149</v>
      </c>
      <c r="G68" s="45"/>
      <c r="H68" s="39">
        <v>5</v>
      </c>
      <c r="I68" s="39">
        <v>125</v>
      </c>
      <c r="J68" s="39">
        <v>455</v>
      </c>
      <c r="K68" s="39">
        <f t="shared" si="4"/>
        <v>4</v>
      </c>
      <c r="L68" s="67">
        <f t="shared" si="7"/>
        <v>10.12375</v>
      </c>
      <c r="M68" s="61"/>
      <c r="W68" s="39">
        <v>1</v>
      </c>
    </row>
    <row r="69" ht="21" customHeight="1" spans="1:23">
      <c r="A69" s="1"/>
      <c r="B69" s="13"/>
      <c r="C69" s="34" t="s">
        <v>150</v>
      </c>
      <c r="D69" s="35" t="s">
        <v>92</v>
      </c>
      <c r="E69" s="36"/>
      <c r="F69" s="52" t="s">
        <v>149</v>
      </c>
      <c r="G69" s="45"/>
      <c r="H69" s="39">
        <v>5</v>
      </c>
      <c r="I69" s="39">
        <v>125</v>
      </c>
      <c r="J69" s="39">
        <v>455</v>
      </c>
      <c r="K69" s="39">
        <f t="shared" si="4"/>
        <v>4</v>
      </c>
      <c r="L69" s="67">
        <f t="shared" si="7"/>
        <v>10.12375</v>
      </c>
      <c r="M69" s="61"/>
      <c r="W69" s="39">
        <v>1</v>
      </c>
    </row>
    <row r="70" ht="21" customHeight="1" spans="1:23">
      <c r="A70" s="1"/>
      <c r="B70" s="13"/>
      <c r="C70" s="34" t="s">
        <v>151</v>
      </c>
      <c r="D70" s="35" t="s">
        <v>94</v>
      </c>
      <c r="E70" s="36"/>
      <c r="F70" s="52" t="s">
        <v>149</v>
      </c>
      <c r="G70" s="45"/>
      <c r="H70" s="39">
        <v>5</v>
      </c>
      <c r="I70" s="39">
        <v>125</v>
      </c>
      <c r="J70" s="39">
        <v>456</v>
      </c>
      <c r="K70" s="39">
        <f t="shared" si="4"/>
        <v>4</v>
      </c>
      <c r="L70" s="67">
        <f t="shared" si="7"/>
        <v>10.146</v>
      </c>
      <c r="M70" s="61"/>
      <c r="W70" s="39">
        <v>1</v>
      </c>
    </row>
    <row r="71" ht="21" customHeight="1" spans="1:23">
      <c r="A71" s="1"/>
      <c r="B71" s="13"/>
      <c r="C71" s="34" t="s">
        <v>152</v>
      </c>
      <c r="D71" s="35" t="s">
        <v>96</v>
      </c>
      <c r="E71" s="36"/>
      <c r="F71" s="52" t="s">
        <v>149</v>
      </c>
      <c r="G71" s="45"/>
      <c r="H71" s="39">
        <v>5</v>
      </c>
      <c r="I71" s="39">
        <v>125</v>
      </c>
      <c r="J71" s="39">
        <v>454</v>
      </c>
      <c r="K71" s="39">
        <f t="shared" si="4"/>
        <v>4</v>
      </c>
      <c r="L71" s="67">
        <f t="shared" si="7"/>
        <v>10.1015</v>
      </c>
      <c r="M71" s="61"/>
      <c r="W71" s="39">
        <v>1</v>
      </c>
    </row>
    <row r="72" ht="21" customHeight="1" spans="1:23">
      <c r="A72" s="1"/>
      <c r="B72" s="13"/>
      <c r="C72" s="34" t="s">
        <v>153</v>
      </c>
      <c r="D72" s="35" t="s">
        <v>98</v>
      </c>
      <c r="E72" s="36"/>
      <c r="F72" s="52" t="s">
        <v>149</v>
      </c>
      <c r="G72" s="45"/>
      <c r="H72" s="39">
        <v>5</v>
      </c>
      <c r="I72" s="39">
        <v>125</v>
      </c>
      <c r="J72" s="39">
        <v>458</v>
      </c>
      <c r="K72" s="39">
        <f t="shared" si="4"/>
        <v>4</v>
      </c>
      <c r="L72" s="67">
        <f t="shared" si="7"/>
        <v>10.1905</v>
      </c>
      <c r="M72" s="61"/>
      <c r="W72" s="39">
        <v>1</v>
      </c>
    </row>
    <row r="73" ht="21" customHeight="1" spans="1:23">
      <c r="A73" s="1"/>
      <c r="B73" s="13"/>
      <c r="C73" s="34" t="s">
        <v>154</v>
      </c>
      <c r="D73" s="35" t="s">
        <v>100</v>
      </c>
      <c r="E73" s="36"/>
      <c r="F73" s="52" t="s">
        <v>149</v>
      </c>
      <c r="G73" s="45"/>
      <c r="H73" s="39">
        <v>5</v>
      </c>
      <c r="I73" s="39">
        <v>125</v>
      </c>
      <c r="J73" s="39">
        <v>454</v>
      </c>
      <c r="K73" s="39">
        <f t="shared" si="4"/>
        <v>4</v>
      </c>
      <c r="L73" s="67">
        <f t="shared" si="7"/>
        <v>10.1015</v>
      </c>
      <c r="M73" s="61"/>
      <c r="W73" s="39">
        <v>1</v>
      </c>
    </row>
    <row r="74" ht="21" customHeight="1" spans="1:23">
      <c r="A74" s="1"/>
      <c r="B74" s="13"/>
      <c r="C74" s="34" t="s">
        <v>155</v>
      </c>
      <c r="D74" s="35" t="s">
        <v>156</v>
      </c>
      <c r="E74" s="36"/>
      <c r="F74" s="44"/>
      <c r="G74" s="45"/>
      <c r="H74" s="39">
        <v>5</v>
      </c>
      <c r="I74" s="39">
        <v>125</v>
      </c>
      <c r="J74" s="39">
        <f>70+48+107+33+35</f>
        <v>293</v>
      </c>
      <c r="K74" s="39">
        <f t="shared" si="4"/>
        <v>8</v>
      </c>
      <c r="L74" s="67">
        <f t="shared" si="7"/>
        <v>13.0385</v>
      </c>
      <c r="M74" s="61"/>
      <c r="W74" s="39">
        <v>2</v>
      </c>
    </row>
    <row r="75" ht="21" customHeight="1" spans="1:23">
      <c r="A75" s="1"/>
      <c r="B75" s="13"/>
      <c r="C75" s="34" t="s">
        <v>157</v>
      </c>
      <c r="D75" s="35" t="s">
        <v>158</v>
      </c>
      <c r="E75" s="36"/>
      <c r="F75" s="44"/>
      <c r="G75" s="45"/>
      <c r="H75" s="39">
        <v>5</v>
      </c>
      <c r="I75" s="39">
        <v>125</v>
      </c>
      <c r="J75" s="39">
        <f>70+48+108+31+35</f>
        <v>292</v>
      </c>
      <c r="K75" s="39">
        <f t="shared" si="4"/>
        <v>4</v>
      </c>
      <c r="L75" s="67">
        <f t="shared" si="7"/>
        <v>6.497</v>
      </c>
      <c r="M75" s="61"/>
      <c r="W75" s="39">
        <v>1</v>
      </c>
    </row>
    <row r="76" ht="21" customHeight="1" spans="1:23">
      <c r="A76" s="1"/>
      <c r="B76" s="13"/>
      <c r="C76" s="34" t="s">
        <v>159</v>
      </c>
      <c r="D76" s="35" t="s">
        <v>160</v>
      </c>
      <c r="E76" s="36"/>
      <c r="F76" s="44"/>
      <c r="G76" s="45"/>
      <c r="H76" s="39">
        <v>5</v>
      </c>
      <c r="I76" s="39">
        <v>125</v>
      </c>
      <c r="J76" s="39">
        <f>70+38+107+32+35</f>
        <v>282</v>
      </c>
      <c r="K76" s="39">
        <f t="shared" ref="K76:K107" si="8">W76*4</f>
        <v>8</v>
      </c>
      <c r="L76" s="67">
        <f t="shared" si="7"/>
        <v>12.549</v>
      </c>
      <c r="M76" s="61"/>
      <c r="W76" s="39">
        <v>2</v>
      </c>
    </row>
    <row r="77" ht="21" customHeight="1" spans="1:23">
      <c r="A77" s="1"/>
      <c r="B77" s="13"/>
      <c r="C77" s="34" t="s">
        <v>161</v>
      </c>
      <c r="D77" s="35" t="s">
        <v>162</v>
      </c>
      <c r="E77" s="36"/>
      <c r="F77" s="44"/>
      <c r="G77" s="45"/>
      <c r="H77" s="39">
        <v>5</v>
      </c>
      <c r="I77" s="39">
        <v>125</v>
      </c>
      <c r="J77" s="39">
        <f>70+38+104+29+40</f>
        <v>281</v>
      </c>
      <c r="K77" s="39">
        <f t="shared" si="8"/>
        <v>4</v>
      </c>
      <c r="L77" s="67">
        <f t="shared" si="7"/>
        <v>6.25225</v>
      </c>
      <c r="M77" s="61"/>
      <c r="W77" s="39">
        <v>1</v>
      </c>
    </row>
    <row r="78" ht="21" customHeight="1" spans="1:23">
      <c r="A78" s="1"/>
      <c r="B78" s="13"/>
      <c r="C78" s="34" t="s">
        <v>163</v>
      </c>
      <c r="D78" s="35" t="s">
        <v>164</v>
      </c>
      <c r="E78" s="36"/>
      <c r="F78" s="46" t="s">
        <v>165</v>
      </c>
      <c r="G78" s="47"/>
      <c r="H78" s="39">
        <v>5</v>
      </c>
      <c r="I78" s="39">
        <v>125</v>
      </c>
      <c r="J78" s="39">
        <v>277</v>
      </c>
      <c r="K78" s="39">
        <f t="shared" si="8"/>
        <v>4</v>
      </c>
      <c r="L78" s="67">
        <f t="shared" ref="L78:L89" si="9">K78*J78*I78*H78*8.9/1000000</f>
        <v>6.16325</v>
      </c>
      <c r="M78" s="61"/>
      <c r="W78" s="39">
        <v>1</v>
      </c>
    </row>
    <row r="79" ht="21" customHeight="1" spans="1:23">
      <c r="A79" s="1"/>
      <c r="B79" s="13"/>
      <c r="C79" s="34" t="s">
        <v>166</v>
      </c>
      <c r="D79" s="35" t="s">
        <v>167</v>
      </c>
      <c r="E79" s="36"/>
      <c r="F79" s="48"/>
      <c r="G79" s="49"/>
      <c r="H79" s="39">
        <v>5</v>
      </c>
      <c r="I79" s="39">
        <v>125</v>
      </c>
      <c r="J79" s="39">
        <v>297</v>
      </c>
      <c r="K79" s="39">
        <f t="shared" si="8"/>
        <v>4</v>
      </c>
      <c r="L79" s="67">
        <f t="shared" si="9"/>
        <v>6.60825</v>
      </c>
      <c r="M79" s="61"/>
      <c r="W79" s="39">
        <v>1</v>
      </c>
    </row>
    <row r="80" ht="21" customHeight="1" spans="1:23">
      <c r="A80" s="1"/>
      <c r="B80" s="13"/>
      <c r="C80" s="34" t="s">
        <v>168</v>
      </c>
      <c r="D80" s="35" t="s">
        <v>169</v>
      </c>
      <c r="E80" s="36"/>
      <c r="F80" s="48"/>
      <c r="G80" s="49"/>
      <c r="H80" s="39">
        <v>5</v>
      </c>
      <c r="I80" s="39">
        <v>125</v>
      </c>
      <c r="J80" s="39">
        <v>257</v>
      </c>
      <c r="K80" s="39">
        <f t="shared" si="8"/>
        <v>4</v>
      </c>
      <c r="L80" s="67">
        <f t="shared" si="9"/>
        <v>5.71825</v>
      </c>
      <c r="M80" s="61"/>
      <c r="W80" s="39">
        <v>1</v>
      </c>
    </row>
    <row r="81" ht="21" customHeight="1" spans="1:23">
      <c r="A81" s="1"/>
      <c r="B81" s="13"/>
      <c r="C81" s="34" t="s">
        <v>170</v>
      </c>
      <c r="D81" s="35" t="s">
        <v>171</v>
      </c>
      <c r="E81" s="36"/>
      <c r="F81" s="48"/>
      <c r="G81" s="49"/>
      <c r="H81" s="39">
        <v>5</v>
      </c>
      <c r="I81" s="39">
        <v>125</v>
      </c>
      <c r="J81" s="39">
        <v>237</v>
      </c>
      <c r="K81" s="39">
        <f t="shared" si="8"/>
        <v>4</v>
      </c>
      <c r="L81" s="67">
        <f t="shared" si="9"/>
        <v>5.27325</v>
      </c>
      <c r="M81" s="61"/>
      <c r="W81" s="39">
        <v>1</v>
      </c>
    </row>
    <row r="82" ht="21" customHeight="1" spans="1:23">
      <c r="A82" s="1"/>
      <c r="B82" s="13"/>
      <c r="C82" s="34" t="s">
        <v>172</v>
      </c>
      <c r="D82" s="35" t="s">
        <v>173</v>
      </c>
      <c r="E82" s="36"/>
      <c r="F82" s="48"/>
      <c r="G82" s="49"/>
      <c r="H82" s="39">
        <v>5</v>
      </c>
      <c r="I82" s="39">
        <v>125</v>
      </c>
      <c r="J82" s="39">
        <v>217</v>
      </c>
      <c r="K82" s="39">
        <f t="shared" si="8"/>
        <v>4</v>
      </c>
      <c r="L82" s="67">
        <f t="shared" si="9"/>
        <v>4.82825</v>
      </c>
      <c r="M82" s="61"/>
      <c r="W82" s="39">
        <v>1</v>
      </c>
    </row>
    <row r="83" ht="21" customHeight="1" spans="1:23">
      <c r="A83" s="1"/>
      <c r="B83" s="13"/>
      <c r="C83" s="34" t="s">
        <v>174</v>
      </c>
      <c r="D83" s="35" t="s">
        <v>175</v>
      </c>
      <c r="E83" s="36"/>
      <c r="F83" s="50"/>
      <c r="G83" s="51"/>
      <c r="H83" s="39">
        <v>5</v>
      </c>
      <c r="I83" s="39">
        <v>125</v>
      </c>
      <c r="J83" s="39">
        <v>197</v>
      </c>
      <c r="K83" s="39">
        <f t="shared" si="8"/>
        <v>4</v>
      </c>
      <c r="L83" s="67">
        <f t="shared" si="9"/>
        <v>4.38325</v>
      </c>
      <c r="M83" s="61"/>
      <c r="W83" s="39">
        <v>1</v>
      </c>
    </row>
    <row r="84" ht="21" customHeight="1" spans="1:25">
      <c r="A84" s="1"/>
      <c r="B84" s="13"/>
      <c r="C84" s="34" t="s">
        <v>176</v>
      </c>
      <c r="D84" s="35" t="s">
        <v>177</v>
      </c>
      <c r="E84" s="36"/>
      <c r="F84" s="52" t="s">
        <v>178</v>
      </c>
      <c r="G84" s="45"/>
      <c r="H84" s="39">
        <v>5</v>
      </c>
      <c r="I84" s="39">
        <v>125</v>
      </c>
      <c r="J84" s="39">
        <f t="shared" ref="J84:J89" si="10">Y84-50</f>
        <v>302</v>
      </c>
      <c r="K84" s="39">
        <f t="shared" si="8"/>
        <v>4</v>
      </c>
      <c r="L84" s="67">
        <f t="shared" ref="L84:L89" si="11">H84*I84*J84*K84*8.9/1000000</f>
        <v>6.7195</v>
      </c>
      <c r="M84" s="61"/>
      <c r="W84" s="39">
        <v>1</v>
      </c>
      <c r="Y84" s="39">
        <v>352</v>
      </c>
    </row>
    <row r="85" ht="21" customHeight="1" spans="1:25">
      <c r="A85" s="1"/>
      <c r="B85" s="13"/>
      <c r="C85" s="34" t="s">
        <v>179</v>
      </c>
      <c r="D85" s="35" t="s">
        <v>180</v>
      </c>
      <c r="E85" s="36"/>
      <c r="F85" s="52" t="s">
        <v>178</v>
      </c>
      <c r="G85" s="45"/>
      <c r="H85" s="39">
        <v>5</v>
      </c>
      <c r="I85" s="39">
        <v>125</v>
      </c>
      <c r="J85" s="39">
        <f t="shared" si="10"/>
        <v>302</v>
      </c>
      <c r="K85" s="39">
        <f t="shared" si="8"/>
        <v>4</v>
      </c>
      <c r="L85" s="67">
        <f t="shared" si="11"/>
        <v>6.7195</v>
      </c>
      <c r="M85" s="61"/>
      <c r="W85" s="39">
        <v>1</v>
      </c>
      <c r="Y85" s="39">
        <v>352</v>
      </c>
    </row>
    <row r="86" ht="21" customHeight="1" spans="1:25">
      <c r="A86" s="1"/>
      <c r="B86" s="13"/>
      <c r="C86" s="34" t="s">
        <v>181</v>
      </c>
      <c r="D86" s="35" t="s">
        <v>182</v>
      </c>
      <c r="E86" s="36"/>
      <c r="F86" s="52" t="s">
        <v>178</v>
      </c>
      <c r="G86" s="45"/>
      <c r="H86" s="39">
        <v>5</v>
      </c>
      <c r="I86" s="39">
        <v>125</v>
      </c>
      <c r="J86" s="39">
        <f t="shared" si="10"/>
        <v>302</v>
      </c>
      <c r="K86" s="39">
        <f t="shared" si="8"/>
        <v>4</v>
      </c>
      <c r="L86" s="67">
        <f t="shared" si="11"/>
        <v>6.7195</v>
      </c>
      <c r="M86" s="61"/>
      <c r="W86" s="39">
        <v>1</v>
      </c>
      <c r="Y86" s="39">
        <v>352</v>
      </c>
    </row>
    <row r="87" ht="21" customHeight="1" spans="1:25">
      <c r="A87" s="1"/>
      <c r="B87" s="13"/>
      <c r="C87" s="34" t="s">
        <v>183</v>
      </c>
      <c r="D87" s="35" t="s">
        <v>184</v>
      </c>
      <c r="E87" s="36"/>
      <c r="F87" s="52" t="s">
        <v>178</v>
      </c>
      <c r="G87" s="45"/>
      <c r="H87" s="39">
        <v>5</v>
      </c>
      <c r="I87" s="39">
        <v>125</v>
      </c>
      <c r="J87" s="39">
        <f t="shared" si="10"/>
        <v>302</v>
      </c>
      <c r="K87" s="39">
        <f t="shared" si="8"/>
        <v>4</v>
      </c>
      <c r="L87" s="67">
        <f t="shared" si="11"/>
        <v>6.7195</v>
      </c>
      <c r="M87" s="61"/>
      <c r="W87" s="39">
        <v>1</v>
      </c>
      <c r="Y87" s="39">
        <v>352</v>
      </c>
    </row>
    <row r="88" ht="21" customHeight="1" spans="1:25">
      <c r="A88" s="1"/>
      <c r="B88" s="13"/>
      <c r="C88" s="34" t="s">
        <v>185</v>
      </c>
      <c r="D88" s="35" t="s">
        <v>186</v>
      </c>
      <c r="E88" s="36"/>
      <c r="F88" s="52" t="s">
        <v>178</v>
      </c>
      <c r="G88" s="45"/>
      <c r="H88" s="39">
        <v>5</v>
      </c>
      <c r="I88" s="39">
        <v>125</v>
      </c>
      <c r="J88" s="39">
        <f t="shared" si="10"/>
        <v>302</v>
      </c>
      <c r="K88" s="39">
        <f t="shared" si="8"/>
        <v>4</v>
      </c>
      <c r="L88" s="67">
        <f t="shared" si="11"/>
        <v>6.7195</v>
      </c>
      <c r="M88" s="61"/>
      <c r="W88" s="39">
        <v>1</v>
      </c>
      <c r="Y88" s="39">
        <v>352</v>
      </c>
    </row>
    <row r="89" ht="21" customHeight="1" spans="1:25">
      <c r="A89" s="1"/>
      <c r="B89" s="13"/>
      <c r="C89" s="34" t="s">
        <v>187</v>
      </c>
      <c r="D89" s="35" t="s">
        <v>188</v>
      </c>
      <c r="E89" s="36"/>
      <c r="F89" s="52" t="s">
        <v>178</v>
      </c>
      <c r="G89" s="45"/>
      <c r="H89" s="39">
        <v>5</v>
      </c>
      <c r="I89" s="39">
        <v>125</v>
      </c>
      <c r="J89" s="39">
        <f t="shared" si="10"/>
        <v>302</v>
      </c>
      <c r="K89" s="39">
        <f t="shared" si="8"/>
        <v>4</v>
      </c>
      <c r="L89" s="67">
        <f t="shared" si="11"/>
        <v>6.7195</v>
      </c>
      <c r="M89" s="61"/>
      <c r="W89" s="39">
        <v>1</v>
      </c>
      <c r="Y89" s="39">
        <v>352</v>
      </c>
    </row>
    <row r="90" ht="21" customHeight="1" spans="1:23">
      <c r="A90" s="1"/>
      <c r="B90" s="13"/>
      <c r="C90" s="34" t="s">
        <v>189</v>
      </c>
      <c r="D90" s="35" t="s">
        <v>190</v>
      </c>
      <c r="E90" s="36"/>
      <c r="F90" s="52" t="s">
        <v>191</v>
      </c>
      <c r="G90" s="45"/>
      <c r="H90" s="39">
        <v>5</v>
      </c>
      <c r="I90" s="39">
        <v>125</v>
      </c>
      <c r="J90" s="39">
        <f>130+67+445</f>
        <v>642</v>
      </c>
      <c r="K90" s="39">
        <f t="shared" si="8"/>
        <v>4</v>
      </c>
      <c r="L90" s="67">
        <f t="shared" ref="L90:L105" si="12">K90*J90*I90*H90*8.9/1000000</f>
        <v>14.2845</v>
      </c>
      <c r="M90" s="61"/>
      <c r="W90" s="39">
        <v>1</v>
      </c>
    </row>
    <row r="91" ht="21" customHeight="1" spans="1:23">
      <c r="A91" s="1"/>
      <c r="B91" s="13"/>
      <c r="C91" s="34" t="s">
        <v>192</v>
      </c>
      <c r="D91" s="35" t="s">
        <v>193</v>
      </c>
      <c r="E91" s="36"/>
      <c r="F91" s="52" t="s">
        <v>191</v>
      </c>
      <c r="G91" s="45"/>
      <c r="H91" s="39">
        <v>5</v>
      </c>
      <c r="I91" s="39">
        <v>125</v>
      </c>
      <c r="J91" s="39">
        <f>158+40+334+35+61</f>
        <v>628</v>
      </c>
      <c r="K91" s="39">
        <f t="shared" si="8"/>
        <v>4</v>
      </c>
      <c r="L91" s="67">
        <f t="shared" si="12"/>
        <v>13.973</v>
      </c>
      <c r="M91" s="61"/>
      <c r="W91" s="39">
        <v>1</v>
      </c>
    </row>
    <row r="92" ht="21" customHeight="1" spans="1:23">
      <c r="A92" s="1"/>
      <c r="B92" s="13"/>
      <c r="C92" s="34" t="s">
        <v>194</v>
      </c>
      <c r="D92" s="35" t="s">
        <v>195</v>
      </c>
      <c r="E92" s="36"/>
      <c r="F92" s="52" t="s">
        <v>191</v>
      </c>
      <c r="G92" s="45"/>
      <c r="H92" s="39">
        <v>5</v>
      </c>
      <c r="I92" s="39">
        <v>125</v>
      </c>
      <c r="J92" s="39">
        <f>139+61+439</f>
        <v>639</v>
      </c>
      <c r="K92" s="39">
        <f t="shared" si="8"/>
        <v>4</v>
      </c>
      <c r="L92" s="67">
        <f t="shared" si="12"/>
        <v>14.21775</v>
      </c>
      <c r="M92" s="61"/>
      <c r="W92" s="39">
        <v>1</v>
      </c>
    </row>
    <row r="93" ht="21" customHeight="1" spans="1:23">
      <c r="A93" s="1"/>
      <c r="B93" s="13"/>
      <c r="C93" s="34" t="s">
        <v>196</v>
      </c>
      <c r="D93" s="35" t="s">
        <v>197</v>
      </c>
      <c r="E93" s="36"/>
      <c r="F93" s="52" t="s">
        <v>191</v>
      </c>
      <c r="G93" s="45"/>
      <c r="H93" s="39">
        <v>5</v>
      </c>
      <c r="I93" s="39">
        <v>125</v>
      </c>
      <c r="J93" s="39">
        <f>148+47+335+35+65</f>
        <v>630</v>
      </c>
      <c r="K93" s="39">
        <f t="shared" si="8"/>
        <v>4</v>
      </c>
      <c r="L93" s="67">
        <f t="shared" si="12"/>
        <v>14.0175</v>
      </c>
      <c r="M93" s="61"/>
      <c r="W93" s="39">
        <v>1</v>
      </c>
    </row>
    <row r="94" ht="21" customHeight="1" spans="1:23">
      <c r="A94" s="1"/>
      <c r="B94" s="13"/>
      <c r="C94" s="34" t="s">
        <v>198</v>
      </c>
      <c r="D94" s="35" t="s">
        <v>199</v>
      </c>
      <c r="E94" s="36"/>
      <c r="F94" s="52" t="s">
        <v>191</v>
      </c>
      <c r="G94" s="45"/>
      <c r="H94" s="39">
        <v>5</v>
      </c>
      <c r="I94" s="39">
        <v>125</v>
      </c>
      <c r="J94" s="39">
        <f>147+56+433</f>
        <v>636</v>
      </c>
      <c r="K94" s="39">
        <f t="shared" si="8"/>
        <v>4</v>
      </c>
      <c r="L94" s="67">
        <f t="shared" si="12"/>
        <v>14.151</v>
      </c>
      <c r="M94" s="61"/>
      <c r="W94" s="39">
        <v>1</v>
      </c>
    </row>
    <row r="95" ht="21" customHeight="1" spans="1:23">
      <c r="A95" s="1"/>
      <c r="B95" s="13"/>
      <c r="C95" s="34" t="s">
        <v>200</v>
      </c>
      <c r="D95" s="35" t="s">
        <v>201</v>
      </c>
      <c r="E95" s="36"/>
      <c r="F95" s="52" t="s">
        <v>191</v>
      </c>
      <c r="G95" s="45"/>
      <c r="H95" s="39">
        <v>5</v>
      </c>
      <c r="I95" s="39">
        <v>125</v>
      </c>
      <c r="J95" s="39">
        <f>138+56+335+35+71</f>
        <v>635</v>
      </c>
      <c r="K95" s="39">
        <f t="shared" si="8"/>
        <v>4</v>
      </c>
      <c r="L95" s="67">
        <f t="shared" si="12"/>
        <v>14.12875</v>
      </c>
      <c r="M95" s="61"/>
      <c r="W95" s="39">
        <v>1</v>
      </c>
    </row>
    <row r="96" ht="21" customHeight="1" spans="1:23">
      <c r="A96" s="1"/>
      <c r="B96" s="13"/>
      <c r="C96" s="34" t="s">
        <v>202</v>
      </c>
      <c r="D96" s="35" t="s">
        <v>203</v>
      </c>
      <c r="E96" s="36"/>
      <c r="F96" s="52" t="s">
        <v>204</v>
      </c>
      <c r="G96" s="45"/>
      <c r="H96" s="39">
        <v>5</v>
      </c>
      <c r="I96" s="39">
        <v>125</v>
      </c>
      <c r="J96" s="39">
        <v>475.5</v>
      </c>
      <c r="K96" s="39">
        <f t="shared" si="8"/>
        <v>4</v>
      </c>
      <c r="L96" s="67">
        <f t="shared" si="12"/>
        <v>10.579875</v>
      </c>
      <c r="M96" s="61"/>
      <c r="W96" s="39">
        <v>1</v>
      </c>
    </row>
    <row r="97" ht="21" customHeight="1" spans="1:23">
      <c r="A97" s="1"/>
      <c r="B97" s="13"/>
      <c r="C97" s="34" t="s">
        <v>205</v>
      </c>
      <c r="D97" s="35" t="s">
        <v>206</v>
      </c>
      <c r="E97" s="36"/>
      <c r="F97" s="52" t="s">
        <v>204</v>
      </c>
      <c r="G97" s="45"/>
      <c r="H97" s="39">
        <v>5</v>
      </c>
      <c r="I97" s="39">
        <v>125</v>
      </c>
      <c r="J97" s="39">
        <v>462</v>
      </c>
      <c r="K97" s="39">
        <f t="shared" si="8"/>
        <v>4</v>
      </c>
      <c r="L97" s="67">
        <f t="shared" si="12"/>
        <v>10.2795</v>
      </c>
      <c r="M97" s="61"/>
      <c r="W97" s="39">
        <v>1</v>
      </c>
    </row>
    <row r="98" ht="21" customHeight="1" spans="1:23">
      <c r="A98" s="1"/>
      <c r="B98" s="13"/>
      <c r="C98" s="34" t="s">
        <v>207</v>
      </c>
      <c r="D98" s="35" t="s">
        <v>208</v>
      </c>
      <c r="E98" s="36"/>
      <c r="F98" s="52" t="s">
        <v>204</v>
      </c>
      <c r="G98" s="45"/>
      <c r="H98" s="39">
        <v>5</v>
      </c>
      <c r="I98" s="39">
        <v>125</v>
      </c>
      <c r="J98" s="39">
        <v>478</v>
      </c>
      <c r="K98" s="39">
        <f t="shared" si="8"/>
        <v>4</v>
      </c>
      <c r="L98" s="67">
        <f t="shared" si="12"/>
        <v>10.6355</v>
      </c>
      <c r="M98" s="61"/>
      <c r="W98" s="39">
        <v>1</v>
      </c>
    </row>
    <row r="99" ht="21" customHeight="1" spans="1:23">
      <c r="A99" s="1"/>
      <c r="B99" s="13"/>
      <c r="C99" s="34" t="s">
        <v>209</v>
      </c>
      <c r="D99" s="35" t="s">
        <v>210</v>
      </c>
      <c r="E99" s="36"/>
      <c r="F99" s="52" t="s">
        <v>204</v>
      </c>
      <c r="G99" s="45"/>
      <c r="H99" s="39">
        <v>5</v>
      </c>
      <c r="I99" s="39">
        <v>125</v>
      </c>
      <c r="J99" s="39">
        <v>461</v>
      </c>
      <c r="K99" s="39">
        <f t="shared" si="8"/>
        <v>4</v>
      </c>
      <c r="L99" s="67">
        <f t="shared" si="12"/>
        <v>10.25725</v>
      </c>
      <c r="M99" s="61"/>
      <c r="W99" s="39">
        <v>1</v>
      </c>
    </row>
    <row r="100" ht="21" customHeight="1" spans="1:23">
      <c r="A100" s="1"/>
      <c r="B100" s="13"/>
      <c r="C100" s="34" t="s">
        <v>211</v>
      </c>
      <c r="D100" s="35" t="s">
        <v>212</v>
      </c>
      <c r="E100" s="36"/>
      <c r="F100" s="52" t="s">
        <v>204</v>
      </c>
      <c r="G100" s="45"/>
      <c r="H100" s="39">
        <v>5</v>
      </c>
      <c r="I100" s="39">
        <v>125</v>
      </c>
      <c r="J100" s="39">
        <v>481.5</v>
      </c>
      <c r="K100" s="39">
        <f t="shared" si="8"/>
        <v>4</v>
      </c>
      <c r="L100" s="67">
        <f t="shared" si="12"/>
        <v>10.713375</v>
      </c>
      <c r="M100" s="61"/>
      <c r="W100" s="39">
        <v>1</v>
      </c>
    </row>
    <row r="101" ht="21" customHeight="1" spans="1:23">
      <c r="A101" s="1"/>
      <c r="B101" s="13"/>
      <c r="C101" s="34" t="s">
        <v>213</v>
      </c>
      <c r="D101" s="35" t="s">
        <v>214</v>
      </c>
      <c r="E101" s="36"/>
      <c r="F101" s="52" t="s">
        <v>204</v>
      </c>
      <c r="G101" s="45"/>
      <c r="H101" s="39">
        <v>5</v>
      </c>
      <c r="I101" s="39">
        <v>125</v>
      </c>
      <c r="J101" s="39">
        <v>461</v>
      </c>
      <c r="K101" s="39">
        <f t="shared" si="8"/>
        <v>4</v>
      </c>
      <c r="L101" s="67">
        <f t="shared" si="12"/>
        <v>10.25725</v>
      </c>
      <c r="M101" s="61"/>
      <c r="W101" s="39">
        <v>1</v>
      </c>
    </row>
    <row r="102" ht="21" customHeight="1" spans="1:23">
      <c r="A102" s="1"/>
      <c r="B102" s="13"/>
      <c r="C102" s="34" t="s">
        <v>215</v>
      </c>
      <c r="D102" s="35" t="s">
        <v>216</v>
      </c>
      <c r="E102" s="36"/>
      <c r="F102" s="44"/>
      <c r="G102" s="45"/>
      <c r="H102" s="39">
        <v>5</v>
      </c>
      <c r="I102" s="39">
        <v>125</v>
      </c>
      <c r="J102" s="39">
        <f>65+62+101+35+35</f>
        <v>298</v>
      </c>
      <c r="K102" s="39">
        <f t="shared" si="8"/>
        <v>8</v>
      </c>
      <c r="L102" s="67">
        <f t="shared" si="12"/>
        <v>13.261</v>
      </c>
      <c r="M102" s="61"/>
      <c r="W102" s="39">
        <v>2</v>
      </c>
    </row>
    <row r="103" ht="21" customHeight="1" spans="1:23">
      <c r="A103" s="1"/>
      <c r="B103" s="13"/>
      <c r="C103" s="34" t="s">
        <v>217</v>
      </c>
      <c r="D103" s="35" t="s">
        <v>218</v>
      </c>
      <c r="E103" s="36"/>
      <c r="F103" s="44"/>
      <c r="G103" s="45"/>
      <c r="H103" s="39">
        <v>5</v>
      </c>
      <c r="I103" s="39">
        <v>125</v>
      </c>
      <c r="J103" s="39">
        <f>65+62+100+34+35</f>
        <v>296</v>
      </c>
      <c r="K103" s="39">
        <f t="shared" si="8"/>
        <v>4</v>
      </c>
      <c r="L103" s="67">
        <f t="shared" si="12"/>
        <v>6.586</v>
      </c>
      <c r="M103" s="61"/>
      <c r="W103" s="39">
        <v>1</v>
      </c>
    </row>
    <row r="104" ht="21" customHeight="1" spans="1:23">
      <c r="A104" s="1"/>
      <c r="B104" s="13"/>
      <c r="C104" s="34" t="s">
        <v>219</v>
      </c>
      <c r="D104" s="35" t="s">
        <v>220</v>
      </c>
      <c r="E104" s="36"/>
      <c r="F104" s="44"/>
      <c r="G104" s="45"/>
      <c r="H104" s="39">
        <v>5</v>
      </c>
      <c r="I104" s="39">
        <v>125</v>
      </c>
      <c r="J104" s="39">
        <f>70+47+92+40+35</f>
        <v>284</v>
      </c>
      <c r="K104" s="39">
        <f t="shared" si="8"/>
        <v>8</v>
      </c>
      <c r="L104" s="67">
        <f t="shared" si="12"/>
        <v>12.638</v>
      </c>
      <c r="M104" s="61"/>
      <c r="W104" s="39">
        <v>2</v>
      </c>
    </row>
    <row r="105" ht="21" customHeight="1" spans="1:23">
      <c r="A105" s="1"/>
      <c r="B105" s="13"/>
      <c r="C105" s="34" t="s">
        <v>221</v>
      </c>
      <c r="D105" s="35" t="s">
        <v>222</v>
      </c>
      <c r="E105" s="36"/>
      <c r="F105" s="44"/>
      <c r="G105" s="45"/>
      <c r="H105" s="39">
        <v>5</v>
      </c>
      <c r="I105" s="39">
        <v>125</v>
      </c>
      <c r="J105" s="39">
        <f>70+47+98+29+40</f>
        <v>284</v>
      </c>
      <c r="K105" s="39">
        <f t="shared" si="8"/>
        <v>4</v>
      </c>
      <c r="L105" s="67">
        <f t="shared" si="12"/>
        <v>6.319</v>
      </c>
      <c r="M105" s="61"/>
      <c r="W105" s="39">
        <v>1</v>
      </c>
    </row>
    <row r="106" ht="21" customHeight="1" spans="1:23">
      <c r="A106" s="1"/>
      <c r="B106" s="13"/>
      <c r="C106" s="34" t="s">
        <v>223</v>
      </c>
      <c r="D106" s="35" t="s">
        <v>224</v>
      </c>
      <c r="E106" s="36"/>
      <c r="F106" s="46" t="s">
        <v>225</v>
      </c>
      <c r="G106" s="47"/>
      <c r="H106" s="39">
        <v>5</v>
      </c>
      <c r="I106" s="39">
        <v>125</v>
      </c>
      <c r="J106" s="39">
        <v>208</v>
      </c>
      <c r="K106" s="39">
        <f t="shared" si="8"/>
        <v>4</v>
      </c>
      <c r="L106" s="67">
        <f t="shared" ref="L106:L135" si="13">K106*J106*I106*H106*8.9/1000000</f>
        <v>4.628</v>
      </c>
      <c r="M106" s="61"/>
      <c r="W106" s="39">
        <v>1</v>
      </c>
    </row>
    <row r="107" ht="21" customHeight="1" spans="1:23">
      <c r="A107" s="1"/>
      <c r="B107" s="13"/>
      <c r="C107" s="34" t="s">
        <v>226</v>
      </c>
      <c r="D107" s="35" t="s">
        <v>227</v>
      </c>
      <c r="E107" s="36"/>
      <c r="F107" s="48"/>
      <c r="G107" s="49"/>
      <c r="H107" s="39">
        <v>5</v>
      </c>
      <c r="I107" s="39">
        <v>125</v>
      </c>
      <c r="J107" s="39">
        <v>228</v>
      </c>
      <c r="K107" s="39">
        <f t="shared" si="8"/>
        <v>4</v>
      </c>
      <c r="L107" s="67">
        <f t="shared" si="13"/>
        <v>5.073</v>
      </c>
      <c r="M107" s="61"/>
      <c r="W107" s="39">
        <v>1</v>
      </c>
    </row>
    <row r="108" ht="21" customHeight="1" spans="1:23">
      <c r="A108" s="1"/>
      <c r="B108" s="13"/>
      <c r="C108" s="34" t="s">
        <v>228</v>
      </c>
      <c r="D108" s="35" t="s">
        <v>229</v>
      </c>
      <c r="E108" s="36"/>
      <c r="F108" s="48"/>
      <c r="G108" s="49"/>
      <c r="H108" s="39">
        <v>5</v>
      </c>
      <c r="I108" s="39">
        <v>125</v>
      </c>
      <c r="J108" s="39">
        <v>248</v>
      </c>
      <c r="K108" s="39">
        <f t="shared" ref="K108:K124" si="14">W108*4</f>
        <v>4</v>
      </c>
      <c r="L108" s="67">
        <f t="shared" si="13"/>
        <v>5.518</v>
      </c>
      <c r="M108" s="61"/>
      <c r="W108" s="39">
        <v>1</v>
      </c>
    </row>
    <row r="109" ht="21" customHeight="1" spans="1:23">
      <c r="A109" s="1"/>
      <c r="B109" s="13"/>
      <c r="C109" s="34" t="s">
        <v>230</v>
      </c>
      <c r="D109" s="35" t="s">
        <v>231</v>
      </c>
      <c r="E109" s="36"/>
      <c r="F109" s="48"/>
      <c r="G109" s="49"/>
      <c r="H109" s="39">
        <v>5</v>
      </c>
      <c r="I109" s="39">
        <v>125</v>
      </c>
      <c r="J109" s="39">
        <v>268</v>
      </c>
      <c r="K109" s="39">
        <f t="shared" si="14"/>
        <v>4</v>
      </c>
      <c r="L109" s="67">
        <f t="shared" si="13"/>
        <v>5.963</v>
      </c>
      <c r="M109" s="61"/>
      <c r="W109" s="39">
        <v>1</v>
      </c>
    </row>
    <row r="110" ht="21" customHeight="1" spans="1:23">
      <c r="A110" s="1"/>
      <c r="B110" s="13"/>
      <c r="C110" s="34" t="s">
        <v>232</v>
      </c>
      <c r="D110" s="35" t="s">
        <v>233</v>
      </c>
      <c r="E110" s="36"/>
      <c r="F110" s="48"/>
      <c r="G110" s="49"/>
      <c r="H110" s="39">
        <v>5</v>
      </c>
      <c r="I110" s="39">
        <v>125</v>
      </c>
      <c r="J110" s="39">
        <v>288</v>
      </c>
      <c r="K110" s="39">
        <f t="shared" si="14"/>
        <v>4</v>
      </c>
      <c r="L110" s="67">
        <f t="shared" si="13"/>
        <v>6.408</v>
      </c>
      <c r="M110" s="61"/>
      <c r="W110" s="39">
        <v>1</v>
      </c>
    </row>
    <row r="111" ht="21" customHeight="1" spans="1:23">
      <c r="A111" s="1"/>
      <c r="B111" s="13"/>
      <c r="C111" s="34" t="s">
        <v>234</v>
      </c>
      <c r="D111" s="35" t="s">
        <v>235</v>
      </c>
      <c r="E111" s="36"/>
      <c r="F111" s="50"/>
      <c r="G111" s="51"/>
      <c r="H111" s="39">
        <v>5</v>
      </c>
      <c r="I111" s="39">
        <v>125</v>
      </c>
      <c r="J111" s="39">
        <v>308</v>
      </c>
      <c r="K111" s="39">
        <f t="shared" si="14"/>
        <v>4</v>
      </c>
      <c r="L111" s="67">
        <f t="shared" si="13"/>
        <v>6.853</v>
      </c>
      <c r="M111" s="61"/>
      <c r="W111" s="39">
        <v>1</v>
      </c>
    </row>
    <row r="112" ht="21" customHeight="1" spans="1:25">
      <c r="A112" s="1"/>
      <c r="B112" s="13"/>
      <c r="C112" s="34" t="s">
        <v>236</v>
      </c>
      <c r="D112" s="35" t="s">
        <v>237</v>
      </c>
      <c r="E112" s="36"/>
      <c r="F112" s="52" t="s">
        <v>238</v>
      </c>
      <c r="G112" s="45"/>
      <c r="H112" s="39">
        <v>5</v>
      </c>
      <c r="I112" s="39">
        <v>125</v>
      </c>
      <c r="J112" s="39">
        <f t="shared" ref="J112:J117" si="15">Y112-50</f>
        <v>300</v>
      </c>
      <c r="K112" s="39">
        <f t="shared" si="14"/>
        <v>4</v>
      </c>
      <c r="L112" s="67">
        <f t="shared" ref="L112:L117" si="16">H112*I112*J112*K112*8.9/1000000</f>
        <v>6.675</v>
      </c>
      <c r="M112" s="61"/>
      <c r="W112" s="39">
        <v>1</v>
      </c>
      <c r="Y112" s="39">
        <v>350</v>
      </c>
    </row>
    <row r="113" ht="21" customHeight="1" spans="1:25">
      <c r="A113" s="1"/>
      <c r="B113" s="13"/>
      <c r="C113" s="34" t="s">
        <v>239</v>
      </c>
      <c r="D113" s="35" t="s">
        <v>240</v>
      </c>
      <c r="E113" s="36"/>
      <c r="F113" s="52" t="s">
        <v>238</v>
      </c>
      <c r="G113" s="45"/>
      <c r="H113" s="39">
        <v>5</v>
      </c>
      <c r="I113" s="39">
        <v>125</v>
      </c>
      <c r="J113" s="39">
        <f t="shared" si="15"/>
        <v>300</v>
      </c>
      <c r="K113" s="39">
        <f t="shared" si="14"/>
        <v>4</v>
      </c>
      <c r="L113" s="67">
        <f t="shared" si="16"/>
        <v>6.675</v>
      </c>
      <c r="M113" s="61"/>
      <c r="W113" s="39">
        <v>1</v>
      </c>
      <c r="Y113" s="39">
        <v>350</v>
      </c>
    </row>
    <row r="114" ht="21" customHeight="1" spans="1:25">
      <c r="A114" s="1"/>
      <c r="B114" s="13"/>
      <c r="C114" s="34" t="s">
        <v>241</v>
      </c>
      <c r="D114" s="35" t="s">
        <v>242</v>
      </c>
      <c r="E114" s="36"/>
      <c r="F114" s="52" t="s">
        <v>238</v>
      </c>
      <c r="G114" s="45"/>
      <c r="H114" s="39">
        <v>5</v>
      </c>
      <c r="I114" s="39">
        <v>125</v>
      </c>
      <c r="J114" s="39">
        <f t="shared" si="15"/>
        <v>300</v>
      </c>
      <c r="K114" s="39">
        <f t="shared" si="14"/>
        <v>4</v>
      </c>
      <c r="L114" s="67">
        <f t="shared" si="16"/>
        <v>6.675</v>
      </c>
      <c r="M114" s="61"/>
      <c r="W114" s="39">
        <v>1</v>
      </c>
      <c r="Y114" s="39">
        <v>350</v>
      </c>
    </row>
    <row r="115" ht="21" customHeight="1" spans="1:25">
      <c r="A115" s="1"/>
      <c r="B115" s="13"/>
      <c r="C115" s="34" t="s">
        <v>243</v>
      </c>
      <c r="D115" s="35" t="s">
        <v>244</v>
      </c>
      <c r="E115" s="36"/>
      <c r="F115" s="52" t="s">
        <v>238</v>
      </c>
      <c r="G115" s="45"/>
      <c r="H115" s="39">
        <v>5</v>
      </c>
      <c r="I115" s="39">
        <v>125</v>
      </c>
      <c r="J115" s="39">
        <f t="shared" si="15"/>
        <v>300</v>
      </c>
      <c r="K115" s="39">
        <f t="shared" si="14"/>
        <v>4</v>
      </c>
      <c r="L115" s="67">
        <f t="shared" si="16"/>
        <v>6.675</v>
      </c>
      <c r="M115" s="61"/>
      <c r="W115" s="39">
        <v>1</v>
      </c>
      <c r="Y115" s="39">
        <v>350</v>
      </c>
    </row>
    <row r="116" ht="21" customHeight="1" spans="1:25">
      <c r="A116" s="1"/>
      <c r="B116" s="13"/>
      <c r="C116" s="34" t="s">
        <v>245</v>
      </c>
      <c r="D116" s="35" t="s">
        <v>246</v>
      </c>
      <c r="E116" s="36"/>
      <c r="F116" s="52" t="s">
        <v>238</v>
      </c>
      <c r="G116" s="45"/>
      <c r="H116" s="39">
        <v>5</v>
      </c>
      <c r="I116" s="39">
        <v>125</v>
      </c>
      <c r="J116" s="39">
        <f t="shared" si="15"/>
        <v>300</v>
      </c>
      <c r="K116" s="39">
        <f t="shared" si="14"/>
        <v>4</v>
      </c>
      <c r="L116" s="67">
        <f t="shared" si="16"/>
        <v>6.675</v>
      </c>
      <c r="M116" s="61"/>
      <c r="W116" s="39">
        <v>1</v>
      </c>
      <c r="Y116" s="39">
        <v>350</v>
      </c>
    </row>
    <row r="117" ht="21" customHeight="1" spans="1:25">
      <c r="A117" s="1"/>
      <c r="B117" s="13"/>
      <c r="C117" s="34" t="s">
        <v>247</v>
      </c>
      <c r="D117" s="35" t="s">
        <v>248</v>
      </c>
      <c r="E117" s="36"/>
      <c r="F117" s="52" t="s">
        <v>238</v>
      </c>
      <c r="G117" s="45"/>
      <c r="H117" s="39">
        <v>5</v>
      </c>
      <c r="I117" s="39">
        <v>125</v>
      </c>
      <c r="J117" s="39">
        <f t="shared" si="15"/>
        <v>300</v>
      </c>
      <c r="K117" s="39">
        <f t="shared" si="14"/>
        <v>4</v>
      </c>
      <c r="L117" s="67">
        <f t="shared" si="16"/>
        <v>6.675</v>
      </c>
      <c r="M117" s="61"/>
      <c r="W117" s="39">
        <v>1</v>
      </c>
      <c r="Y117" s="39">
        <v>350</v>
      </c>
    </row>
    <row r="118" ht="21" customHeight="1" spans="1:23">
      <c r="A118" s="1"/>
      <c r="B118" s="13"/>
      <c r="C118" s="34" t="s">
        <v>249</v>
      </c>
      <c r="D118" s="35" t="s">
        <v>250</v>
      </c>
      <c r="E118" s="36"/>
      <c r="F118" s="52"/>
      <c r="G118" s="45"/>
      <c r="H118" s="39">
        <v>5</v>
      </c>
      <c r="I118" s="39">
        <v>150</v>
      </c>
      <c r="J118" s="39">
        <v>463</v>
      </c>
      <c r="K118" s="39">
        <f t="shared" si="14"/>
        <v>80</v>
      </c>
      <c r="L118" s="67">
        <f t="shared" si="13"/>
        <v>247.242</v>
      </c>
      <c r="M118" s="61"/>
      <c r="W118" s="39">
        <v>20</v>
      </c>
    </row>
    <row r="119" ht="21" customHeight="1" spans="1:23">
      <c r="A119" s="1"/>
      <c r="B119" s="13"/>
      <c r="C119" s="34" t="s">
        <v>251</v>
      </c>
      <c r="D119" s="52" t="s">
        <v>252</v>
      </c>
      <c r="E119" s="45"/>
      <c r="F119" s="52"/>
      <c r="G119" s="45"/>
      <c r="H119" s="39">
        <v>5</v>
      </c>
      <c r="I119" s="39">
        <v>60</v>
      </c>
      <c r="J119" s="39">
        <v>390</v>
      </c>
      <c r="K119" s="39">
        <f t="shared" si="14"/>
        <v>64</v>
      </c>
      <c r="L119" s="67">
        <f t="shared" si="13"/>
        <v>66.6432</v>
      </c>
      <c r="M119" s="61"/>
      <c r="W119" s="39">
        <v>16</v>
      </c>
    </row>
    <row r="120" ht="21" customHeight="1" spans="1:23">
      <c r="A120" s="1"/>
      <c r="B120" s="13"/>
      <c r="C120" s="34" t="s">
        <v>253</v>
      </c>
      <c r="D120" s="35" t="s">
        <v>254</v>
      </c>
      <c r="E120" s="36"/>
      <c r="F120" s="52" t="s">
        <v>255</v>
      </c>
      <c r="G120" s="45"/>
      <c r="H120" s="39">
        <v>10</v>
      </c>
      <c r="I120" s="39">
        <v>60</v>
      </c>
      <c r="J120" s="39">
        <f>680+57.5+57.5+6</f>
        <v>801</v>
      </c>
      <c r="K120" s="39">
        <f t="shared" si="14"/>
        <v>4</v>
      </c>
      <c r="L120" s="67">
        <f t="shared" si="13"/>
        <v>17.10936</v>
      </c>
      <c r="M120" s="61"/>
      <c r="W120" s="39">
        <v>1</v>
      </c>
    </row>
    <row r="121" ht="21" customHeight="1" spans="1:23">
      <c r="A121" s="1"/>
      <c r="B121" s="13"/>
      <c r="C121" s="34" t="s">
        <v>256</v>
      </c>
      <c r="D121" s="35" t="s">
        <v>257</v>
      </c>
      <c r="E121" s="36"/>
      <c r="F121" s="44" t="s">
        <v>258</v>
      </c>
      <c r="G121" s="45"/>
      <c r="H121" s="39">
        <v>10</v>
      </c>
      <c r="I121" s="39">
        <v>60</v>
      </c>
      <c r="J121" s="39">
        <f>62+435+3</f>
        <v>500</v>
      </c>
      <c r="K121" s="39">
        <f t="shared" si="14"/>
        <v>4</v>
      </c>
      <c r="L121" s="67">
        <f t="shared" si="13"/>
        <v>10.68</v>
      </c>
      <c r="M121" s="61"/>
      <c r="W121" s="39">
        <v>1</v>
      </c>
    </row>
    <row r="122" ht="21" customHeight="1" spans="1:23">
      <c r="A122" s="1"/>
      <c r="B122" s="13"/>
      <c r="C122" s="34" t="s">
        <v>259</v>
      </c>
      <c r="D122" s="35" t="s">
        <v>260</v>
      </c>
      <c r="E122" s="36"/>
      <c r="F122" s="52" t="s">
        <v>261</v>
      </c>
      <c r="G122" s="45"/>
      <c r="H122" s="39">
        <v>5</v>
      </c>
      <c r="I122" s="39">
        <v>125</v>
      </c>
      <c r="J122" s="39">
        <v>655</v>
      </c>
      <c r="K122" s="39">
        <f t="shared" si="14"/>
        <v>80</v>
      </c>
      <c r="L122" s="67">
        <f t="shared" si="13"/>
        <v>291.475</v>
      </c>
      <c r="M122" s="61"/>
      <c r="W122" s="39">
        <v>20</v>
      </c>
    </row>
    <row r="123" ht="21" customHeight="1" spans="1:23">
      <c r="A123" s="1"/>
      <c r="B123" s="13"/>
      <c r="C123" s="34" t="s">
        <v>262</v>
      </c>
      <c r="D123" s="52" t="s">
        <v>263</v>
      </c>
      <c r="E123" s="45"/>
      <c r="F123" s="52"/>
      <c r="G123" s="45"/>
      <c r="H123" s="39">
        <v>5</v>
      </c>
      <c r="I123" s="39">
        <v>125</v>
      </c>
      <c r="J123" s="39">
        <v>108.5</v>
      </c>
      <c r="K123" s="39">
        <f t="shared" si="14"/>
        <v>80</v>
      </c>
      <c r="L123" s="67">
        <f t="shared" si="13"/>
        <v>48.2825</v>
      </c>
      <c r="M123" s="61"/>
      <c r="W123" s="39">
        <v>20</v>
      </c>
    </row>
    <row r="124" ht="21" customHeight="1" spans="1:23">
      <c r="A124" s="1"/>
      <c r="B124" s="13"/>
      <c r="C124" s="34" t="s">
        <v>264</v>
      </c>
      <c r="D124" s="44">
        <v>51132480</v>
      </c>
      <c r="E124" s="45"/>
      <c r="F124" s="52" t="s">
        <v>265</v>
      </c>
      <c r="G124" s="45"/>
      <c r="H124" s="69">
        <v>5</v>
      </c>
      <c r="I124" s="69">
        <v>125</v>
      </c>
      <c r="J124" s="69">
        <v>145</v>
      </c>
      <c r="K124" s="39">
        <f t="shared" si="14"/>
        <v>96</v>
      </c>
      <c r="L124" s="67">
        <f t="shared" si="13"/>
        <v>77.43</v>
      </c>
      <c r="M124" s="61"/>
      <c r="W124" s="69">
        <v>24</v>
      </c>
    </row>
    <row r="125" ht="21" customHeight="1" spans="1:13">
      <c r="A125" s="1"/>
      <c r="B125" s="13"/>
      <c r="C125" s="34" t="s">
        <v>266</v>
      </c>
      <c r="D125" s="44"/>
      <c r="E125" s="45"/>
      <c r="F125" s="44"/>
      <c r="G125" s="45"/>
      <c r="H125" s="69"/>
      <c r="I125" s="69"/>
      <c r="J125" s="69"/>
      <c r="K125" s="69"/>
      <c r="L125" s="67">
        <f>SUM(L11:L124)</f>
        <v>1792.50806</v>
      </c>
      <c r="M125" s="61"/>
    </row>
    <row r="126" ht="21" customHeight="1" spans="1:13">
      <c r="A126" s="1"/>
      <c r="B126" s="13"/>
      <c r="C126" s="70" t="s">
        <v>267</v>
      </c>
      <c r="D126" s="71"/>
      <c r="E126" s="72" t="s">
        <v>268</v>
      </c>
      <c r="F126" s="73" t="s">
        <v>269</v>
      </c>
      <c r="G126" s="74">
        <v>45308</v>
      </c>
      <c r="H126" s="73" t="s">
        <v>270</v>
      </c>
      <c r="I126" s="72"/>
      <c r="J126" s="72"/>
      <c r="K126" s="73" t="s">
        <v>269</v>
      </c>
      <c r="L126" s="67"/>
      <c r="M126" s="61"/>
    </row>
    <row r="127" ht="13.5" customHeight="1" spans="1:13">
      <c r="A127" s="1"/>
      <c r="B127" s="13"/>
      <c r="C127" s="75" t="s">
        <v>271</v>
      </c>
      <c r="D127" s="75"/>
      <c r="E127" s="75"/>
      <c r="F127" s="75"/>
      <c r="G127" s="75"/>
      <c r="H127" s="75"/>
      <c r="I127" s="75"/>
      <c r="J127" s="75"/>
      <c r="K127" s="75"/>
      <c r="L127" s="75"/>
      <c r="M127" s="61"/>
    </row>
    <row r="128" ht="18.75" customHeight="1" spans="1:22">
      <c r="A128" s="1"/>
      <c r="B128" s="13"/>
      <c r="C128" s="14" t="s">
        <v>272</v>
      </c>
      <c r="D128" s="16"/>
      <c r="E128" s="16"/>
      <c r="F128" s="16"/>
      <c r="G128" s="16"/>
      <c r="H128" s="16"/>
      <c r="I128" s="16"/>
      <c r="J128" s="16"/>
      <c r="K128" s="16"/>
      <c r="L128" s="60"/>
      <c r="M128" s="61"/>
      <c r="V128" s="76"/>
    </row>
    <row r="129" ht="23.25" customHeight="1" spans="1:22">
      <c r="A129" s="1"/>
      <c r="B129" s="13"/>
      <c r="C129" s="77" t="s">
        <v>273</v>
      </c>
      <c r="D129" s="30"/>
      <c r="E129" s="78"/>
      <c r="F129" s="30" t="s">
        <v>269</v>
      </c>
      <c r="G129" s="78"/>
      <c r="H129" s="30" t="s">
        <v>274</v>
      </c>
      <c r="I129" s="72"/>
      <c r="J129" s="72"/>
      <c r="K129" s="30" t="s">
        <v>269</v>
      </c>
      <c r="L129" s="82"/>
      <c r="M129" s="61"/>
      <c r="V129" s="76"/>
    </row>
    <row r="130" ht="18.75" customHeight="1" spans="1:22">
      <c r="A130" s="1"/>
      <c r="B130" s="79"/>
      <c r="C130" s="80" t="s">
        <v>275</v>
      </c>
      <c r="D130" s="80"/>
      <c r="E130" s="80"/>
      <c r="F130" s="80"/>
      <c r="G130" s="80"/>
      <c r="H130" s="80"/>
      <c r="I130" s="80"/>
      <c r="J130" s="80"/>
      <c r="K130" s="80"/>
      <c r="L130" s="80"/>
      <c r="M130" s="83"/>
      <c r="N130" s="2"/>
      <c r="O130" s="2"/>
      <c r="P130" s="2"/>
      <c r="Q130" s="2"/>
      <c r="R130" s="2"/>
      <c r="S130" s="2"/>
      <c r="T130" s="2"/>
      <c r="U130" s="2"/>
      <c r="V130" s="2"/>
    </row>
    <row r="131" ht="17.25" customHeight="1" spans="1:22">
      <c r="A131" s="1"/>
      <c r="B131" s="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31"/>
      <c r="N131" s="2"/>
      <c r="O131" s="2"/>
      <c r="P131" s="2"/>
      <c r="Q131" s="2"/>
      <c r="R131" s="2"/>
      <c r="S131" s="2"/>
      <c r="T131" s="2"/>
      <c r="U131" s="2"/>
      <c r="V131" s="2"/>
    </row>
  </sheetData>
  <protectedRanges>
    <protectedRange sqref="H5:I5 C5:D5 H6 H7:I7 H4:L4 K5:L5 F126 H127:L129 I126:L126 F129 H9:L16 H17:L22 H34:J39 L34:L39 H62:L66 H67:L67 L90:L95 H90:K95 H118:L118 J119:L119 H119:I119 L122:L123 H122:K123 W62:W67 W118:W123 W124 H124:J124 L124 H125:L125 K124 K34:K45 W34:W45 W90:W101 K96:K101 W11:W22 H120:L120 K121:L121 J7:L7 K6:L6" name="Range1"/>
    <protectedRange sqref="L27:L31 H28:J31" name="Range1_5"/>
    <protectedRange sqref="H32:J32 L32:L33" name="Range1_6"/>
    <protectedRange sqref="H27:J27 L27" name="Range1_5_1"/>
    <protectedRange sqref="H33:J33 L33 Y33" name="Range1_5_3"/>
    <protectedRange sqref="L40:L45" name="Range1_6_1"/>
    <protectedRange sqref="H40:J45 L40:L45" name="Range1_5_3_1"/>
    <protectedRange sqref="H50:J54 L50:L54" name="Range1_1"/>
    <protectedRange sqref="L55" name="Range1_2_1_5"/>
    <protectedRange sqref="H55:J55" name="Range1_9"/>
    <protectedRange sqref="L68:L73" name="Range1_6_2"/>
    <protectedRange sqref="H68:L73 W68:W73" name="Range1_5_3_2"/>
    <protectedRange sqref="H80:H82 H78" name="Range1_1_1"/>
    <protectedRange sqref="H83:J83 L83" name="Range1_2"/>
    <protectedRange sqref="H79" name="Range1_1_2"/>
    <protectedRange sqref="L85:L89" name="Range1_2_1_2"/>
    <protectedRange sqref="L84" name="Range1_2_1_3"/>
    <protectedRange sqref="L96:L101" name="Range1_6_3"/>
    <protectedRange sqref="H96:J101 L96:L101" name="Range1_5_3_3"/>
    <protectedRange sqref="H107:H111" name="Range1_1_3"/>
    <protectedRange sqref="H106" name="Range1_1_1_1"/>
    <protectedRange sqref="L112:L116" name="Range1_2_1_2_1"/>
    <protectedRange sqref="L117" name="Range1_2_1_5_1"/>
    <protectedRange sqref="H46:L49 W46:W49" name="Range1_4"/>
    <protectedRange sqref="H74:L77 W74:W77" name="Range1_7"/>
    <protectedRange sqref="H102:L105 W102:W105" name="Range1_8"/>
    <protectedRange sqref="H23:L26 W23:W26" name="Range1_3"/>
    <protectedRange sqref="H121:J121" name="Range1_10"/>
  </protectedRanges>
  <mergeCells count="227">
    <mergeCell ref="E2:H2"/>
    <mergeCell ref="J2:L2"/>
    <mergeCell ref="F3:I3"/>
    <mergeCell ref="J3:L3"/>
    <mergeCell ref="C4:L4"/>
    <mergeCell ref="C5:D5"/>
    <mergeCell ref="E5:G5"/>
    <mergeCell ref="H5:I5"/>
    <mergeCell ref="J5:L5"/>
    <mergeCell ref="H6:I6"/>
    <mergeCell ref="J6:L6"/>
    <mergeCell ref="H7:I7"/>
    <mergeCell ref="J7:L7"/>
    <mergeCell ref="C9:L9"/>
    <mergeCell ref="D10:E10"/>
    <mergeCell ref="F10:G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D28:E28"/>
    <mergeCell ref="D29:E29"/>
    <mergeCell ref="D30:E30"/>
    <mergeCell ref="D31:E31"/>
    <mergeCell ref="D32:E32"/>
    <mergeCell ref="D33:E33"/>
    <mergeCell ref="F33:G33"/>
    <mergeCell ref="D34:E34"/>
    <mergeCell ref="F34:G34"/>
    <mergeCell ref="D35:E35"/>
    <mergeCell ref="F35:G35"/>
    <mergeCell ref="D36:E36"/>
    <mergeCell ref="F36:G36"/>
    <mergeCell ref="D37:E37"/>
    <mergeCell ref="F37:G37"/>
    <mergeCell ref="D38:E38"/>
    <mergeCell ref="F38:G38"/>
    <mergeCell ref="D39:E39"/>
    <mergeCell ref="F39:G39"/>
    <mergeCell ref="D40:E40"/>
    <mergeCell ref="F40:G40"/>
    <mergeCell ref="D41:E41"/>
    <mergeCell ref="F41:G41"/>
    <mergeCell ref="D42:E42"/>
    <mergeCell ref="F42:G42"/>
    <mergeCell ref="D43:E43"/>
    <mergeCell ref="F43:G43"/>
    <mergeCell ref="D44:E44"/>
    <mergeCell ref="F44:G44"/>
    <mergeCell ref="D45:E45"/>
    <mergeCell ref="F45:G45"/>
    <mergeCell ref="D46:E46"/>
    <mergeCell ref="F46:G46"/>
    <mergeCell ref="D47:E47"/>
    <mergeCell ref="F47:G47"/>
    <mergeCell ref="D48:E48"/>
    <mergeCell ref="F48:G48"/>
    <mergeCell ref="D49:E49"/>
    <mergeCell ref="F49:G49"/>
    <mergeCell ref="D50:E50"/>
    <mergeCell ref="D51:E51"/>
    <mergeCell ref="D52:E52"/>
    <mergeCell ref="D53:E53"/>
    <mergeCell ref="D54:E54"/>
    <mergeCell ref="D55:E55"/>
    <mergeCell ref="D56:E56"/>
    <mergeCell ref="F56:G56"/>
    <mergeCell ref="D57:E57"/>
    <mergeCell ref="F57:G57"/>
    <mergeCell ref="D58:E58"/>
    <mergeCell ref="F58:G58"/>
    <mergeCell ref="D59:E59"/>
    <mergeCell ref="F59:G59"/>
    <mergeCell ref="D60:E60"/>
    <mergeCell ref="F60:G60"/>
    <mergeCell ref="D61:E61"/>
    <mergeCell ref="F61:G61"/>
    <mergeCell ref="D62:E62"/>
    <mergeCell ref="F62:G62"/>
    <mergeCell ref="D63:E63"/>
    <mergeCell ref="F63:G63"/>
    <mergeCell ref="D64:E64"/>
    <mergeCell ref="F64:G64"/>
    <mergeCell ref="D65:E65"/>
    <mergeCell ref="F65:G65"/>
    <mergeCell ref="D66:E66"/>
    <mergeCell ref="F66:G66"/>
    <mergeCell ref="D67:E67"/>
    <mergeCell ref="F67:G67"/>
    <mergeCell ref="D68:E68"/>
    <mergeCell ref="F68:G68"/>
    <mergeCell ref="D69:E69"/>
    <mergeCell ref="F69:G69"/>
    <mergeCell ref="D70:E70"/>
    <mergeCell ref="F70:G70"/>
    <mergeCell ref="D71:E71"/>
    <mergeCell ref="F71:G71"/>
    <mergeCell ref="D72:E72"/>
    <mergeCell ref="F72:G72"/>
    <mergeCell ref="D73:E73"/>
    <mergeCell ref="F73:G73"/>
    <mergeCell ref="D74:E74"/>
    <mergeCell ref="F74:G74"/>
    <mergeCell ref="D75:E75"/>
    <mergeCell ref="F75:G75"/>
    <mergeCell ref="D76:E76"/>
    <mergeCell ref="F76:G76"/>
    <mergeCell ref="D77:E77"/>
    <mergeCell ref="F77:G77"/>
    <mergeCell ref="D78:E78"/>
    <mergeCell ref="D79:E79"/>
    <mergeCell ref="D80:E80"/>
    <mergeCell ref="D81:E81"/>
    <mergeCell ref="D82:E82"/>
    <mergeCell ref="D83:E83"/>
    <mergeCell ref="D84:E84"/>
    <mergeCell ref="F84:G84"/>
    <mergeCell ref="D85:E85"/>
    <mergeCell ref="F85:G85"/>
    <mergeCell ref="D86:E86"/>
    <mergeCell ref="F86:G86"/>
    <mergeCell ref="D87:E87"/>
    <mergeCell ref="F87:G87"/>
    <mergeCell ref="D88:E88"/>
    <mergeCell ref="F88:G88"/>
    <mergeCell ref="D89:E89"/>
    <mergeCell ref="F89:G89"/>
    <mergeCell ref="D90:E90"/>
    <mergeCell ref="F90:G90"/>
    <mergeCell ref="D91:E91"/>
    <mergeCell ref="F91:G91"/>
    <mergeCell ref="D92:E92"/>
    <mergeCell ref="F92:G92"/>
    <mergeCell ref="D93:E93"/>
    <mergeCell ref="F93:G93"/>
    <mergeCell ref="D94:E94"/>
    <mergeCell ref="F94:G94"/>
    <mergeCell ref="D95:E95"/>
    <mergeCell ref="F95:G95"/>
    <mergeCell ref="D96:E96"/>
    <mergeCell ref="F96:G96"/>
    <mergeCell ref="D97:E97"/>
    <mergeCell ref="F97:G97"/>
    <mergeCell ref="D98:E98"/>
    <mergeCell ref="F98:G98"/>
    <mergeCell ref="D99:E99"/>
    <mergeCell ref="F99:G99"/>
    <mergeCell ref="D100:E100"/>
    <mergeCell ref="F100:G100"/>
    <mergeCell ref="D101:E101"/>
    <mergeCell ref="F101:G101"/>
    <mergeCell ref="D102:E102"/>
    <mergeCell ref="F102:G102"/>
    <mergeCell ref="D103:E103"/>
    <mergeCell ref="F103:G103"/>
    <mergeCell ref="D104:E104"/>
    <mergeCell ref="F104:G104"/>
    <mergeCell ref="D105:E105"/>
    <mergeCell ref="F105:G105"/>
    <mergeCell ref="D106:E106"/>
    <mergeCell ref="D107:E107"/>
    <mergeCell ref="D108:E108"/>
    <mergeCell ref="D109:E109"/>
    <mergeCell ref="D110:E110"/>
    <mergeCell ref="D111:E111"/>
    <mergeCell ref="D112:E112"/>
    <mergeCell ref="F112:G112"/>
    <mergeCell ref="D113:E113"/>
    <mergeCell ref="F113:G113"/>
    <mergeCell ref="D114:E114"/>
    <mergeCell ref="F114:G114"/>
    <mergeCell ref="D115:E115"/>
    <mergeCell ref="F115:G115"/>
    <mergeCell ref="D116:E116"/>
    <mergeCell ref="F116:G116"/>
    <mergeCell ref="D117:E117"/>
    <mergeCell ref="F117:G117"/>
    <mergeCell ref="D118:E118"/>
    <mergeCell ref="F118:G118"/>
    <mergeCell ref="D119:E119"/>
    <mergeCell ref="F119:G119"/>
    <mergeCell ref="D120:E120"/>
    <mergeCell ref="F120:G120"/>
    <mergeCell ref="D121:E121"/>
    <mergeCell ref="F121:G121"/>
    <mergeCell ref="D122:E122"/>
    <mergeCell ref="F122:G122"/>
    <mergeCell ref="D123:E123"/>
    <mergeCell ref="F123:G123"/>
    <mergeCell ref="D124:E124"/>
    <mergeCell ref="F124:G124"/>
    <mergeCell ref="D125:E125"/>
    <mergeCell ref="F125:G125"/>
    <mergeCell ref="C126:D126"/>
    <mergeCell ref="I126:J126"/>
    <mergeCell ref="C127:L127"/>
    <mergeCell ref="C128:L128"/>
    <mergeCell ref="C129:D129"/>
    <mergeCell ref="I129:J129"/>
    <mergeCell ref="C130:L130"/>
    <mergeCell ref="E6:E7"/>
    <mergeCell ref="F6:F7"/>
    <mergeCell ref="G6:G7"/>
    <mergeCell ref="C6:D7"/>
    <mergeCell ref="F27:G32"/>
    <mergeCell ref="F50:G55"/>
    <mergeCell ref="F78:G83"/>
    <mergeCell ref="F106:G111"/>
    <mergeCell ref="F11:G16"/>
    <mergeCell ref="F17:G22"/>
  </mergeCells>
  <pageMargins left="0.165277777777778" right="0.025" top="0.118055555555556" bottom="0.354166666666667" header="0.313888888888889" footer="0.432638888888889"/>
  <pageSetup paperSize="9" scale="83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Siemens AG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项目铜排材料总单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cn0f0343</dc:creator>
  <cp:lastModifiedBy>win10</cp:lastModifiedBy>
  <dcterms:created xsi:type="dcterms:W3CDTF">2018-02-03T11:06:00Z</dcterms:created>
  <dcterms:modified xsi:type="dcterms:W3CDTF">2024-06-26T08:56:05Z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